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namedSheetViews/namedSheetView1.xml" ContentType="application/vnd.ms-excel.namedsheetviews+xml"/>
  <Override PartName="/xl/comments2.xml" ContentType="application/vnd.openxmlformats-officedocument.spreadsheetml.comments+xml"/>
  <Override PartName="/xl/threadedComments/threadedComment2.xml" ContentType="application/vnd.ms-excel.threadedcomments+xml"/>
  <Override PartName="/xl/namedSheetViews/namedSheetView2.xml" ContentType="application/vnd.ms-excel.namedsheetview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namedSheetViews/namedSheetView3.xml" ContentType="application/vnd.ms-excel.namedsheetviews+xml"/>
  <Override PartName="/xl/tables/table1.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updateLinks="always"/>
  <mc:AlternateContent xmlns:mc="http://schemas.openxmlformats.org/markup-compatibility/2006">
    <mc:Choice Requires="x15">
      <x15ac:absPath xmlns:x15ac="http://schemas.microsoft.com/office/spreadsheetml/2010/11/ac" url="C:\Users\lkpetro\Downloads\"/>
    </mc:Choice>
  </mc:AlternateContent>
  <xr:revisionPtr revIDLastSave="0" documentId="13_ncr:1_{EE6AD0C0-3317-4EED-BB2F-2ACE0463DB9E}" xr6:coauthVersionLast="47" xr6:coauthVersionMax="47" xr10:uidLastSave="{00000000-0000-0000-0000-000000000000}"/>
  <bookViews>
    <workbookView xWindow="-120" yWindow="-120" windowWidth="29040" windowHeight="15720" tabRatio="735" firstSheet="4" activeTab="6" xr2:uid="{00000000-000D-0000-FFFF-FFFF00000000}"/>
  </bookViews>
  <sheets>
    <sheet name="Matriz Calor Inherente" sheetId="25" state="hidden" r:id="rId1"/>
    <sheet name="Matriz Calor Residual" sheetId="26" state="hidden" r:id="rId2"/>
    <sheet name="Matriz Calor Inherente." sheetId="52" state="hidden" r:id="rId3"/>
    <sheet name="Matriz Calor Residual." sheetId="53" state="hidden" r:id="rId4"/>
    <sheet name="Control de cambios" sheetId="41" r:id="rId5"/>
    <sheet name="Inst. Riesgos de gestión" sheetId="23" r:id="rId6"/>
    <sheet name="Matriz riesgos de gestión" sheetId="24" r:id="rId7"/>
    <sheet name="Catálogo puntos riesgo fiscal" sheetId="47" r:id="rId8"/>
    <sheet name="Matriz riesgos fiscales" sheetId="54" r:id="rId9"/>
    <sheet name="MapaCalor" sheetId="38" state="hidden" r:id="rId10"/>
    <sheet name="Inst. riesgos corrupción" sheetId="34" r:id="rId11"/>
    <sheet name="Evaluación impacto Corrupción" sheetId="37" r:id="rId12"/>
    <sheet name="Matriz riesgos de corrupción" sheetId="55" r:id="rId13"/>
    <sheet name="Control de cambios SI" sheetId="59" r:id="rId14"/>
    <sheet name="Inst. Riesgos seguridad Inf." sheetId="48" r:id="rId15"/>
    <sheet name="Matriz Calor Inherente SI" sheetId="44" state="hidden" r:id="rId16"/>
    <sheet name="Matriz Calor Residual SI" sheetId="45" state="hidden" r:id="rId17"/>
    <sheet name="Tabla probabilidad" sheetId="27" r:id="rId18"/>
    <sheet name="Tabla Impacto" sheetId="28" r:id="rId19"/>
    <sheet name="Tabla Valoración controles" sheetId="29" r:id="rId20"/>
    <sheet name="Base corrupción" sheetId="39" r:id="rId21"/>
    <sheet name="Base de datos gestión" sheetId="30" r:id="rId22"/>
    <sheet name="Grupo de activos - SI" sheetId="42" state="hidden" r:id="rId23"/>
    <sheet name="Mapa final back up" sheetId="33" state="hidden" r:id="rId24"/>
    <sheet name="Hoja1" sheetId="31" state="hidden" r:id="rId25"/>
  </sheets>
  <externalReferences>
    <externalReference r:id="rId26"/>
    <externalReference r:id="rId27"/>
    <externalReference r:id="rId28"/>
  </externalReferences>
  <definedNames>
    <definedName name="_xlnm._FilterDatabase" localSheetId="11" hidden="1">'Evaluación impacto Corrupción'!$A$1:$W$42</definedName>
    <definedName name="_xlnm._FilterDatabase" localSheetId="12" hidden="1">'Matriz riesgos de corrupción'!$A$2:$BB$106</definedName>
    <definedName name="_xlnm._FilterDatabase" localSheetId="6" hidden="1">'Matriz riesgos de gestión'!$A$3:$AN$293</definedName>
    <definedName name="_xlnm._FilterDatabase" localSheetId="8" hidden="1">'Matriz riesgos fiscales'!$A$3:$AQ$37</definedName>
    <definedName name="A_responsable" localSheetId="22">#REF!</definedName>
    <definedName name="A_responsable" localSheetId="9">#REF!</definedName>
    <definedName name="A_responsable" localSheetId="2">#REF!</definedName>
    <definedName name="A_responsable" localSheetId="3">#REF!</definedName>
    <definedName name="A_responsable" localSheetId="12">#REF!</definedName>
    <definedName name="A_responsable" localSheetId="8">#REF!</definedName>
    <definedName name="A_responsable">'Base corrupción'!$A$65:$A$66</definedName>
    <definedName name="Act_control" localSheetId="22">#REF!</definedName>
    <definedName name="Act_control" localSheetId="9">#REF!</definedName>
    <definedName name="Act_control" localSheetId="2">#REF!</definedName>
    <definedName name="Act_control" localSheetId="3">#REF!</definedName>
    <definedName name="Act_control" localSheetId="12">#REF!</definedName>
    <definedName name="Act_control" localSheetId="8">#REF!</definedName>
    <definedName name="Act_control">'Base corrupción'!$A$82:$A$83</definedName>
    <definedName name="_xlnm.Print_Area" localSheetId="11">'Evaluación impacto Corrupción'!$A$1:$W$203</definedName>
    <definedName name="_xlnm.Print_Area" localSheetId="2">'Matriz Calor Inherente.'!$A$1:$AT$54</definedName>
    <definedName name="_xlnm.Print_Area" localSheetId="3">'Matriz Calor Residual.'!$A$1:$AT$67</definedName>
    <definedName name="C_Externo">'Base corrupción'!$A$9:$A$14</definedName>
    <definedName name="C_Interno">'Base corrupción'!$A$19:$A$25</definedName>
    <definedName name="C_Proceso">'Base corrupción'!$A$29:$A$35</definedName>
    <definedName name="Contexto">'Base corrupción'!$A$2:$A$4</definedName>
    <definedName name="CONTROLG">#REF!</definedName>
    <definedName name="Desviaciones" localSheetId="22">#REF!</definedName>
    <definedName name="Desviaciones" localSheetId="9">#REF!</definedName>
    <definedName name="Desviaciones" localSheetId="2">#REF!</definedName>
    <definedName name="Desviaciones" localSheetId="3">#REF!</definedName>
    <definedName name="Desviaciones" localSheetId="12">#REF!</definedName>
    <definedName name="Desviaciones" localSheetId="8">#REF!</definedName>
    <definedName name="Desviaciones">'Base corrupción'!$A$86:$A$87</definedName>
    <definedName name="Evidencia" localSheetId="22">#REF!</definedName>
    <definedName name="Evidencia" localSheetId="9">#REF!</definedName>
    <definedName name="Evidencia" localSheetId="2">#REF!</definedName>
    <definedName name="Evidencia" localSheetId="3">#REF!</definedName>
    <definedName name="Evidencia" localSheetId="12">#REF!</definedName>
    <definedName name="Evidencia" localSheetId="8">#REF!</definedName>
    <definedName name="Evidencia">'Base corrupción'!$A$90:$A$92</definedName>
    <definedName name="Influencia_C" localSheetId="22">#REF!</definedName>
    <definedName name="Influencia_C" localSheetId="9">#REF!</definedName>
    <definedName name="Influencia_C" localSheetId="2">#REF!</definedName>
    <definedName name="Influencia_C" localSheetId="3">#REF!</definedName>
    <definedName name="Influencia_C" localSheetId="12">#REF!</definedName>
    <definedName name="Influencia_C" localSheetId="8">#REF!</definedName>
    <definedName name="Influencia_C">'Base corrupción'!$A$111:$A$113</definedName>
    <definedName name="Influencia_CP" localSheetId="22">#REF!</definedName>
    <definedName name="Influencia_CP" localSheetId="9">#REF!</definedName>
    <definedName name="Influencia_CP" localSheetId="2">#REF!</definedName>
    <definedName name="Influencia_CP" localSheetId="3">#REF!</definedName>
    <definedName name="Influencia_CP" localSheetId="12">#REF!</definedName>
    <definedName name="Influencia_CP" localSheetId="8">#REF!</definedName>
    <definedName name="Influencia_CP">'Base corrupción'!$A$111:$A$112</definedName>
    <definedName name="lkpm">#REF!</definedName>
    <definedName name="lkpm1">#REF!</definedName>
    <definedName name="lkpm12">#REF!</definedName>
    <definedName name="lkpm3">#REF!</definedName>
    <definedName name="lkpm4">#REF!</definedName>
    <definedName name="lkpm6">#REF!</definedName>
    <definedName name="LKPM9">#REF!</definedName>
    <definedName name="N_Impacto" localSheetId="22">#REF!</definedName>
    <definedName name="N_Impacto" localSheetId="9">#REF!</definedName>
    <definedName name="N_Impacto" localSheetId="2">#REF!</definedName>
    <definedName name="N_Impacto" localSheetId="3">#REF!</definedName>
    <definedName name="N_Impacto" localSheetId="12">#REF!</definedName>
    <definedName name="N_Impacto" localSheetId="8">#REF!</definedName>
    <definedName name="N_Impacto">'Base corrupción'!$C$2:$C$6</definedName>
    <definedName name="N_ImpactoC" localSheetId="22">#REF!</definedName>
    <definedName name="N_ImpactoC" localSheetId="9">#REF!</definedName>
    <definedName name="N_ImpactoC" localSheetId="2">#REF!</definedName>
    <definedName name="N_ImpactoC" localSheetId="3">#REF!</definedName>
    <definedName name="N_ImpactoC" localSheetId="12">#REF!</definedName>
    <definedName name="N_ImpactoC" localSheetId="8">#REF!</definedName>
    <definedName name="N_ImpactoC">'Base corrupción'!$C$2:$C$4</definedName>
    <definedName name="N_Probabilidad" localSheetId="22">#REF!</definedName>
    <definedName name="N_Probabilidad" localSheetId="9">#REF!</definedName>
    <definedName name="N_Probabilidad" localSheetId="2">#REF!</definedName>
    <definedName name="N_Probabilidad" localSheetId="3">#REF!</definedName>
    <definedName name="N_Probabilidad" localSheetId="12">#REF!</definedName>
    <definedName name="N_Probabilidad" localSheetId="8">#REF!</definedName>
    <definedName name="N_Probabilidad">'Base corrupción'!$G$11:$G$15</definedName>
    <definedName name="Nivel_R" localSheetId="22">#REF!</definedName>
    <definedName name="Nivel_R" localSheetId="9">#REF!</definedName>
    <definedName name="Nivel_R" localSheetId="2">#REF!</definedName>
    <definedName name="Nivel_R" localSheetId="3">#REF!</definedName>
    <definedName name="Nivel_R" localSheetId="12">#REF!</definedName>
    <definedName name="Nivel_R" localSheetId="8">#REF!</definedName>
    <definedName name="Nivel_R">'Base corrupción'!$A$105:$A$108</definedName>
    <definedName name="P_ejecución" localSheetId="22">#REF!</definedName>
    <definedName name="P_ejecución" localSheetId="9">#REF!</definedName>
    <definedName name="P_ejecución" localSheetId="2">#REF!</definedName>
    <definedName name="P_ejecución" localSheetId="3">#REF!</definedName>
    <definedName name="P_ejecución" localSheetId="12">#REF!</definedName>
    <definedName name="P_ejecución" localSheetId="8">#REF!</definedName>
    <definedName name="P_ejecución">'Base corrupción'!$C$33:$C$35</definedName>
    <definedName name="Periodicidad" localSheetId="22">#REF!</definedName>
    <definedName name="Periodicidad" localSheetId="9">#REF!</definedName>
    <definedName name="Periodicidad" localSheetId="2">#REF!</definedName>
    <definedName name="Periodicidad" localSheetId="3">#REF!</definedName>
    <definedName name="Periodicidad" localSheetId="12">#REF!</definedName>
    <definedName name="Periodicidad" localSheetId="8">#REF!</definedName>
    <definedName name="Periodicidad">'Base corrupción'!$A$73:$A$74</definedName>
    <definedName name="Proceso" localSheetId="22">#REF!</definedName>
    <definedName name="Proceso" localSheetId="9">#REF!</definedName>
    <definedName name="Proceso" localSheetId="2">#REF!</definedName>
    <definedName name="Proceso" localSheetId="3">#REF!</definedName>
    <definedName name="Proceso" localSheetId="12">#REF!</definedName>
    <definedName name="Proceso" localSheetId="8">#REF!</definedName>
    <definedName name="Proceso">'Base corrupción'!$M$2:$M$24</definedName>
    <definedName name="Propósito" localSheetId="22">#REF!</definedName>
    <definedName name="Propósito" localSheetId="9">#REF!</definedName>
    <definedName name="Propósito" localSheetId="2">#REF!</definedName>
    <definedName name="Propósito" localSheetId="3">#REF!</definedName>
    <definedName name="Propósito" localSheetId="12">#REF!</definedName>
    <definedName name="Propósito" localSheetId="8">#REF!</definedName>
    <definedName name="Propósito">'Base corrupción'!$A$77:$A$79</definedName>
    <definedName name="RespuestaC" localSheetId="22">#REF!</definedName>
    <definedName name="RespuestaC" localSheetId="9">#REF!</definedName>
    <definedName name="RespuestaC" localSheetId="2">#REF!</definedName>
    <definedName name="RespuestaC" localSheetId="3">#REF!</definedName>
    <definedName name="RespuestaC" localSheetId="12">#REF!</definedName>
    <definedName name="RespuestaC" localSheetId="8">#REF!</definedName>
    <definedName name="RespuestaC">'Base corrupción'!$A$61:$A$62</definedName>
    <definedName name="S_responsable" localSheetId="22">#REF!</definedName>
    <definedName name="S_responsable" localSheetId="9">#REF!</definedName>
    <definedName name="S_responsable" localSheetId="2">#REF!</definedName>
    <definedName name="S_responsable" localSheetId="3">#REF!</definedName>
    <definedName name="S_responsable" localSheetId="12">#REF!</definedName>
    <definedName name="S_responsable" localSheetId="8">#REF!</definedName>
    <definedName name="S_responsable">'Base corrupción'!$A$69:$A$70</definedName>
    <definedName name="T_Control" localSheetId="22">#REF!</definedName>
    <definedName name="T_Control" localSheetId="9">#REF!</definedName>
    <definedName name="T_Control" localSheetId="2">#REF!</definedName>
    <definedName name="T_Control" localSheetId="3">#REF!</definedName>
    <definedName name="T_Control" localSheetId="12">#REF!</definedName>
    <definedName name="T_Control" localSheetId="8">#REF!</definedName>
    <definedName name="T_Control">'Base corrupción'!$A$95:$A$96</definedName>
    <definedName name="T_Proceso" localSheetId="9">#REF!</definedName>
    <definedName name="T_Proceso" localSheetId="2">#REF!</definedName>
    <definedName name="T_Proceso" localSheetId="3">#REF!</definedName>
    <definedName name="T_Proceso">#REF!</definedName>
    <definedName name="TImpacto" localSheetId="22">#REF!</definedName>
    <definedName name="TImpacto" localSheetId="2">#REF!</definedName>
    <definedName name="TImpacto" localSheetId="3">#REF!</definedName>
    <definedName name="TImpacto" localSheetId="12">#REF!</definedName>
    <definedName name="TImpacto" localSheetId="8">#REF!</definedName>
    <definedName name="TImpacto">'Base corrupción'!$G$2:$H$6</definedName>
    <definedName name="Tipología" localSheetId="22">#REF!</definedName>
    <definedName name="Tipología" localSheetId="9">#REF!</definedName>
    <definedName name="Tipología">'Base corrupción'!$A$40:$A$51</definedName>
    <definedName name="_xlnm.Print_Titles" localSheetId="12">'Matriz riesgos de corrupción'!$2:$2</definedName>
    <definedName name="TMapaCalor" localSheetId="22">#REF!</definedName>
    <definedName name="TMapaCalor" localSheetId="2">#REF!</definedName>
    <definedName name="TMapaCalor" localSheetId="3">#REF!</definedName>
    <definedName name="TMapaCalor" localSheetId="12">#REF!</definedName>
    <definedName name="TMapaCalor" localSheetId="8">#REF!</definedName>
    <definedName name="TMapaCalor">'Base corrupción'!$D$40:$E$64</definedName>
    <definedName name="TProbabilidad" localSheetId="22">#REF!</definedName>
    <definedName name="TProbabilidad" localSheetId="2">#REF!</definedName>
    <definedName name="TProbabilidad" localSheetId="3">#REF!</definedName>
    <definedName name="TProbabilidad" localSheetId="12">#REF!</definedName>
    <definedName name="TProbabilidad" localSheetId="8">#REF!</definedName>
    <definedName name="TProbabilidad">'Base corrupción'!$G$11:$H$15</definedName>
    <definedName name="Tratamiento_R" localSheetId="22">#REF!</definedName>
    <definedName name="Tratamiento_R" localSheetId="9">#REF!</definedName>
    <definedName name="Tratamiento_R" localSheetId="2">#REF!</definedName>
    <definedName name="Tratamiento_R" localSheetId="3">#REF!</definedName>
    <definedName name="Tratamiento_R" localSheetId="12">#REF!</definedName>
    <definedName name="Tratamiento_R" localSheetId="8">#REF!</definedName>
    <definedName name="Tratamiento_R">'Base corrupción'!$A$99:$A$102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54" l="1"/>
  <c r="E208" i="24"/>
  <c r="D208" i="24"/>
  <c r="E209" i="24"/>
  <c r="Y28" i="24"/>
  <c r="V28" i="24"/>
  <c r="P28" i="24"/>
  <c r="R28" i="24" s="1"/>
  <c r="M28" i="24"/>
  <c r="E28" i="24"/>
  <c r="D28" i="24"/>
  <c r="D71" i="24"/>
  <c r="D57" i="24"/>
  <c r="D11" i="24"/>
  <c r="D5" i="24"/>
  <c r="D4" i="54"/>
  <c r="W20" i="37"/>
  <c r="V10" i="37"/>
  <c r="W10" i="37"/>
  <c r="W13" i="37"/>
  <c r="W14" i="37"/>
  <c r="V6" i="37"/>
  <c r="W6" i="37"/>
  <c r="E4" i="24"/>
  <c r="E5" i="24"/>
  <c r="D4" i="24"/>
  <c r="V25" i="37"/>
  <c r="W25" i="37"/>
  <c r="V24" i="37"/>
  <c r="W24" i="37"/>
  <c r="V23" i="37"/>
  <c r="W23" i="37"/>
  <c r="V22" i="37"/>
  <c r="W22" i="37"/>
  <c r="V21" i="37"/>
  <c r="W21" i="37"/>
  <c r="V19" i="37"/>
  <c r="W19" i="37"/>
  <c r="V18" i="37"/>
  <c r="W18" i="37"/>
  <c r="V17" i="37"/>
  <c r="W17" i="37"/>
  <c r="V16" i="37"/>
  <c r="W16" i="37"/>
  <c r="V15" i="37"/>
  <c r="W15" i="37"/>
  <c r="V14" i="37"/>
  <c r="V13" i="37"/>
  <c r="V12" i="37"/>
  <c r="W12" i="37"/>
  <c r="V11" i="37"/>
  <c r="W11" i="37"/>
  <c r="V9" i="37"/>
  <c r="W9" i="37"/>
  <c r="V8" i="37"/>
  <c r="W8" i="37"/>
  <c r="V7" i="37"/>
  <c r="W7" i="37"/>
  <c r="V5" i="37"/>
  <c r="W5" i="37"/>
  <c r="V4" i="37"/>
  <c r="W4" i="37"/>
  <c r="V3" i="37"/>
  <c r="W3" i="37"/>
  <c r="V2" i="37"/>
  <c r="W2" i="37"/>
  <c r="AJ59" i="55"/>
  <c r="AI59" i="55"/>
  <c r="AH59" i="55"/>
  <c r="AG59" i="55"/>
  <c r="AF59" i="55"/>
  <c r="AE59" i="55"/>
  <c r="AD59" i="55"/>
  <c r="R59" i="55"/>
  <c r="AJ58" i="55"/>
  <c r="AI58" i="55"/>
  <c r="AH58" i="55"/>
  <c r="AG58" i="55"/>
  <c r="AF58" i="55"/>
  <c r="AE58" i="55"/>
  <c r="AD58" i="55"/>
  <c r="R58" i="55"/>
  <c r="AJ57" i="55"/>
  <c r="AI57" i="55"/>
  <c r="AH57" i="55"/>
  <c r="AG57" i="55"/>
  <c r="AF57" i="55"/>
  <c r="AE57" i="55"/>
  <c r="AD57" i="55"/>
  <c r="R57" i="55"/>
  <c r="AJ56" i="55"/>
  <c r="AI56" i="55"/>
  <c r="AH56" i="55"/>
  <c r="AG56" i="55"/>
  <c r="AF56" i="55"/>
  <c r="AE56" i="55"/>
  <c r="AD56" i="55"/>
  <c r="R56" i="55"/>
  <c r="AJ55" i="55"/>
  <c r="AI55" i="55"/>
  <c r="AH55" i="55"/>
  <c r="AG55" i="55"/>
  <c r="AF55" i="55"/>
  <c r="AE55" i="55"/>
  <c r="AD55" i="55"/>
  <c r="R55" i="55"/>
  <c r="AJ54" i="55"/>
  <c r="AI54" i="55"/>
  <c r="AH54" i="55"/>
  <c r="AG54" i="55"/>
  <c r="AF54" i="55"/>
  <c r="AE54" i="55"/>
  <c r="AD54" i="55"/>
  <c r="R54" i="55"/>
  <c r="AJ53" i="55"/>
  <c r="AI53" i="55"/>
  <c r="AH53" i="55"/>
  <c r="AG53" i="55"/>
  <c r="AF53" i="55"/>
  <c r="AE53" i="55"/>
  <c r="AD53" i="55"/>
  <c r="R53" i="55"/>
  <c r="AJ52" i="55"/>
  <c r="AI52" i="55"/>
  <c r="AH52" i="55"/>
  <c r="AG52" i="55"/>
  <c r="AF52" i="55"/>
  <c r="AE52" i="55"/>
  <c r="AD52" i="55"/>
  <c r="R52" i="55"/>
  <c r="AJ51" i="55"/>
  <c r="AI51" i="55"/>
  <c r="AH51" i="55"/>
  <c r="AG51" i="55"/>
  <c r="AF51" i="55"/>
  <c r="AE51" i="55"/>
  <c r="AD51" i="55"/>
  <c r="R51" i="55"/>
  <c r="AJ50" i="55"/>
  <c r="AI50" i="55"/>
  <c r="AH50" i="55"/>
  <c r="AG50" i="55"/>
  <c r="AF50" i="55"/>
  <c r="AE50" i="55"/>
  <c r="AD50" i="55"/>
  <c r="R50" i="55"/>
  <c r="AJ49" i="55"/>
  <c r="AI49" i="55"/>
  <c r="AH49" i="55"/>
  <c r="AG49" i="55"/>
  <c r="AF49" i="55"/>
  <c r="AE49" i="55"/>
  <c r="AD49" i="55"/>
  <c r="R49" i="55"/>
  <c r="AJ48" i="55"/>
  <c r="AI48" i="55"/>
  <c r="AH48" i="55"/>
  <c r="AG48" i="55"/>
  <c r="AF48" i="55"/>
  <c r="AE48" i="55"/>
  <c r="AD48" i="55"/>
  <c r="R48" i="55"/>
  <c r="AJ47" i="55"/>
  <c r="AI47" i="55"/>
  <c r="AH47" i="55"/>
  <c r="AG47" i="55"/>
  <c r="AF47" i="55"/>
  <c r="AE47" i="55"/>
  <c r="AD47" i="55"/>
  <c r="R47" i="55"/>
  <c r="AJ46" i="55"/>
  <c r="AI46" i="55"/>
  <c r="AH46" i="55"/>
  <c r="AG46" i="55"/>
  <c r="AF46" i="55"/>
  <c r="AE46" i="55"/>
  <c r="AD46" i="55"/>
  <c r="R46" i="55"/>
  <c r="AJ45" i="55"/>
  <c r="AI45" i="55"/>
  <c r="AH45" i="55"/>
  <c r="AG45" i="55"/>
  <c r="AF45" i="55"/>
  <c r="AE45" i="55"/>
  <c r="AD45" i="55"/>
  <c r="R45" i="55"/>
  <c r="AJ44" i="55"/>
  <c r="AI44" i="55"/>
  <c r="AH44" i="55"/>
  <c r="AG44" i="55"/>
  <c r="AF44" i="55"/>
  <c r="AE44" i="55"/>
  <c r="AD44" i="55"/>
  <c r="R44" i="55"/>
  <c r="AJ43" i="55"/>
  <c r="AI43" i="55"/>
  <c r="AH43" i="55"/>
  <c r="AG43" i="55"/>
  <c r="AF43" i="55"/>
  <c r="AE43" i="55"/>
  <c r="AD43" i="55"/>
  <c r="R43" i="55"/>
  <c r="AJ42" i="55"/>
  <c r="AI42" i="55"/>
  <c r="AH42" i="55"/>
  <c r="AG42" i="55"/>
  <c r="AF42" i="55"/>
  <c r="AE42" i="55"/>
  <c r="AD42" i="55"/>
  <c r="R42" i="55"/>
  <c r="AJ41" i="55"/>
  <c r="AI41" i="55"/>
  <c r="AH41" i="55"/>
  <c r="AG41" i="55"/>
  <c r="AF41" i="55"/>
  <c r="AE41" i="55"/>
  <c r="AD41" i="55"/>
  <c r="R41" i="55"/>
  <c r="AJ40" i="55"/>
  <c r="AI40" i="55"/>
  <c r="AH40" i="55"/>
  <c r="AG40" i="55"/>
  <c r="AF40" i="55"/>
  <c r="AE40" i="55"/>
  <c r="AD40" i="55"/>
  <c r="R40" i="55"/>
  <c r="AJ39" i="55"/>
  <c r="AI39" i="55"/>
  <c r="AH39" i="55"/>
  <c r="AG39" i="55"/>
  <c r="AF39" i="55"/>
  <c r="AE39" i="55"/>
  <c r="AD39" i="55"/>
  <c r="R39" i="55"/>
  <c r="AJ38" i="55"/>
  <c r="AI38" i="55"/>
  <c r="AH38" i="55"/>
  <c r="AG38" i="55"/>
  <c r="AF38" i="55"/>
  <c r="AE38" i="55"/>
  <c r="AD38" i="55"/>
  <c r="R38" i="55"/>
  <c r="AJ37" i="55"/>
  <c r="AI37" i="55"/>
  <c r="AH37" i="55"/>
  <c r="AG37" i="55"/>
  <c r="AF37" i="55"/>
  <c r="AE37" i="55"/>
  <c r="AD37" i="55"/>
  <c r="R37" i="55"/>
  <c r="AJ36" i="55"/>
  <c r="AI36" i="55"/>
  <c r="AH36" i="55"/>
  <c r="AG36" i="55"/>
  <c r="AF36" i="55"/>
  <c r="AE36" i="55"/>
  <c r="AD36" i="55"/>
  <c r="R36" i="55"/>
  <c r="AJ35" i="55"/>
  <c r="AI35" i="55"/>
  <c r="AH35" i="55"/>
  <c r="AG35" i="55"/>
  <c r="AF35" i="55"/>
  <c r="AE35" i="55"/>
  <c r="AD35" i="55"/>
  <c r="R35" i="55"/>
  <c r="AJ34" i="55"/>
  <c r="AI34" i="55"/>
  <c r="AH34" i="55"/>
  <c r="AG34" i="55"/>
  <c r="AF34" i="55"/>
  <c r="AE34" i="55"/>
  <c r="AD34" i="55"/>
  <c r="R34" i="55"/>
  <c r="AJ33" i="55"/>
  <c r="AI33" i="55"/>
  <c r="AH33" i="55"/>
  <c r="AG33" i="55"/>
  <c r="AF33" i="55"/>
  <c r="AE33" i="55"/>
  <c r="AD33" i="55"/>
  <c r="R33" i="55"/>
  <c r="AJ32" i="55"/>
  <c r="AI32" i="55"/>
  <c r="AH32" i="55"/>
  <c r="AG32" i="55"/>
  <c r="AF32" i="55"/>
  <c r="AE32" i="55"/>
  <c r="AD32" i="55"/>
  <c r="R32" i="55"/>
  <c r="AJ31" i="55"/>
  <c r="AI31" i="55"/>
  <c r="AH31" i="55"/>
  <c r="AG31" i="55"/>
  <c r="AF31" i="55"/>
  <c r="AE31" i="55"/>
  <c r="AD31" i="55"/>
  <c r="R31" i="55"/>
  <c r="AJ30" i="55"/>
  <c r="AI30" i="55"/>
  <c r="AH30" i="55"/>
  <c r="AG30" i="55"/>
  <c r="AF30" i="55"/>
  <c r="AE30" i="55"/>
  <c r="AD30" i="55"/>
  <c r="R30" i="55"/>
  <c r="AJ29" i="55"/>
  <c r="AI29" i="55"/>
  <c r="AH29" i="55"/>
  <c r="AG29" i="55"/>
  <c r="AF29" i="55"/>
  <c r="AE29" i="55"/>
  <c r="AD29" i="55"/>
  <c r="R29" i="55"/>
  <c r="AJ28" i="55"/>
  <c r="AI28" i="55"/>
  <c r="AH28" i="55"/>
  <c r="AG28" i="55"/>
  <c r="AF28" i="55"/>
  <c r="AE28" i="55"/>
  <c r="AD28" i="55"/>
  <c r="R28" i="55"/>
  <c r="AJ27" i="55"/>
  <c r="AI27" i="55"/>
  <c r="AH27" i="55"/>
  <c r="AG27" i="55"/>
  <c r="AF27" i="55"/>
  <c r="AE27" i="55"/>
  <c r="AD27" i="55"/>
  <c r="AJ26" i="55"/>
  <c r="AI26" i="55"/>
  <c r="AH26" i="55"/>
  <c r="AG26" i="55"/>
  <c r="AF26" i="55"/>
  <c r="AE26" i="55"/>
  <c r="AD26" i="55"/>
  <c r="AJ25" i="55"/>
  <c r="AI25" i="55"/>
  <c r="AH25" i="55"/>
  <c r="AG25" i="55"/>
  <c r="AF25" i="55"/>
  <c r="AE25" i="55"/>
  <c r="AD25" i="55"/>
  <c r="R25" i="55"/>
  <c r="AJ24" i="55"/>
  <c r="AI24" i="55"/>
  <c r="AH24" i="55"/>
  <c r="AG24" i="55"/>
  <c r="AF24" i="55"/>
  <c r="AE24" i="55"/>
  <c r="AD24" i="55"/>
  <c r="R24" i="55"/>
  <c r="AJ23" i="55"/>
  <c r="AI23" i="55"/>
  <c r="AH23" i="55"/>
  <c r="AG23" i="55"/>
  <c r="AF23" i="55"/>
  <c r="AE23" i="55"/>
  <c r="AD23" i="55"/>
  <c r="R23" i="55"/>
  <c r="AJ22" i="55"/>
  <c r="AI22" i="55"/>
  <c r="AH22" i="55"/>
  <c r="AG22" i="55"/>
  <c r="AF22" i="55"/>
  <c r="AE22" i="55"/>
  <c r="AD22" i="55"/>
  <c r="R22" i="55"/>
  <c r="AJ21" i="55"/>
  <c r="AI21" i="55"/>
  <c r="AH21" i="55"/>
  <c r="AG21" i="55"/>
  <c r="AF21" i="55"/>
  <c r="AE21" i="55"/>
  <c r="AD21" i="55"/>
  <c r="R21" i="55"/>
  <c r="AJ20" i="55"/>
  <c r="AI20" i="55"/>
  <c r="AH20" i="55"/>
  <c r="AG20" i="55"/>
  <c r="AF20" i="55"/>
  <c r="AE20" i="55"/>
  <c r="AD20" i="55"/>
  <c r="R20" i="55"/>
  <c r="AJ19" i="55"/>
  <c r="AI19" i="55"/>
  <c r="AH19" i="55"/>
  <c r="AG19" i="55"/>
  <c r="AF19" i="55"/>
  <c r="AE19" i="55"/>
  <c r="AD19" i="55"/>
  <c r="R19" i="55"/>
  <c r="AJ18" i="55"/>
  <c r="AI18" i="55"/>
  <c r="AH18" i="55"/>
  <c r="AG18" i="55"/>
  <c r="AF18" i="55"/>
  <c r="AE18" i="55"/>
  <c r="AD18" i="55"/>
  <c r="R18" i="55"/>
  <c r="AJ17" i="55"/>
  <c r="AI17" i="55"/>
  <c r="AH17" i="55"/>
  <c r="AG17" i="55"/>
  <c r="AF17" i="55"/>
  <c r="AE17" i="55"/>
  <c r="AD17" i="55"/>
  <c r="R17" i="55"/>
  <c r="AJ16" i="55"/>
  <c r="AI16" i="55"/>
  <c r="AH16" i="55"/>
  <c r="AG16" i="55"/>
  <c r="AF16" i="55"/>
  <c r="AE16" i="55"/>
  <c r="AD16" i="55"/>
  <c r="R16" i="55"/>
  <c r="AJ15" i="55"/>
  <c r="AI15" i="55"/>
  <c r="AH15" i="55"/>
  <c r="AG15" i="55"/>
  <c r="AF15" i="55"/>
  <c r="AE15" i="55"/>
  <c r="AD15" i="55"/>
  <c r="R15" i="55"/>
  <c r="AJ14" i="55"/>
  <c r="AI14" i="55"/>
  <c r="AH14" i="55"/>
  <c r="AG14" i="55"/>
  <c r="AF14" i="55"/>
  <c r="AE14" i="55"/>
  <c r="AD14" i="55"/>
  <c r="R14" i="55"/>
  <c r="AJ13" i="55"/>
  <c r="AI13" i="55"/>
  <c r="AH13" i="55"/>
  <c r="AG13" i="55"/>
  <c r="AF13" i="55"/>
  <c r="AE13" i="55"/>
  <c r="AD13" i="55"/>
  <c r="R13" i="55"/>
  <c r="AJ12" i="55"/>
  <c r="AI12" i="55"/>
  <c r="AH12" i="55"/>
  <c r="AG12" i="55"/>
  <c r="AF12" i="55"/>
  <c r="AE12" i="55"/>
  <c r="AD12" i="55"/>
  <c r="R12" i="55"/>
  <c r="AJ11" i="55"/>
  <c r="AI11" i="55"/>
  <c r="AH11" i="55"/>
  <c r="AG11" i="55"/>
  <c r="AF11" i="55"/>
  <c r="AE11" i="55"/>
  <c r="AD11" i="55"/>
  <c r="R11" i="55"/>
  <c r="AJ10" i="55"/>
  <c r="AI10" i="55"/>
  <c r="AH10" i="55"/>
  <c r="AG10" i="55"/>
  <c r="AF10" i="55"/>
  <c r="AE10" i="55"/>
  <c r="AD10" i="55"/>
  <c r="R10" i="55"/>
  <c r="AJ9" i="55"/>
  <c r="AI9" i="55"/>
  <c r="AH9" i="55"/>
  <c r="AG9" i="55"/>
  <c r="AF9" i="55"/>
  <c r="AE9" i="55"/>
  <c r="AD9" i="55"/>
  <c r="R9" i="55"/>
  <c r="AJ8" i="55"/>
  <c r="AI8" i="55"/>
  <c r="AH8" i="55"/>
  <c r="AG8" i="55"/>
  <c r="AF8" i="55"/>
  <c r="AE8" i="55"/>
  <c r="AD8" i="55"/>
  <c r="R8" i="55"/>
  <c r="AJ7" i="55"/>
  <c r="AI7" i="55"/>
  <c r="AH7" i="55"/>
  <c r="AG7" i="55"/>
  <c r="AF7" i="55"/>
  <c r="AE7" i="55"/>
  <c r="AD7" i="55"/>
  <c r="R7" i="55"/>
  <c r="AJ6" i="55"/>
  <c r="AI6" i="55"/>
  <c r="AH6" i="55"/>
  <c r="AG6" i="55"/>
  <c r="AF6" i="55"/>
  <c r="AE6" i="55"/>
  <c r="AD6" i="55"/>
  <c r="R6" i="55"/>
  <c r="AJ5" i="55"/>
  <c r="AI5" i="55"/>
  <c r="AH5" i="55"/>
  <c r="AG5" i="55"/>
  <c r="AF5" i="55"/>
  <c r="AE5" i="55"/>
  <c r="AD5" i="55"/>
  <c r="R5" i="55"/>
  <c r="AJ4" i="55"/>
  <c r="AI4" i="55"/>
  <c r="AH4" i="55"/>
  <c r="AG4" i="55"/>
  <c r="AF4" i="55"/>
  <c r="AE4" i="55"/>
  <c r="AD4" i="55"/>
  <c r="R4" i="55"/>
  <c r="AJ3" i="55"/>
  <c r="AI3" i="55"/>
  <c r="AH3" i="55"/>
  <c r="AG3" i="55"/>
  <c r="AF3" i="55"/>
  <c r="AE3" i="55"/>
  <c r="AD3" i="55"/>
  <c r="R3" i="55"/>
  <c r="X37" i="54"/>
  <c r="R37" i="54"/>
  <c r="S37" i="54" s="1"/>
  <c r="T37" i="54" s="1"/>
  <c r="X36" i="54"/>
  <c r="R36" i="54"/>
  <c r="S36" i="54" s="1"/>
  <c r="X35" i="54"/>
  <c r="R35" i="54"/>
  <c r="S35" i="54" s="1"/>
  <c r="X34" i="54"/>
  <c r="R34" i="54"/>
  <c r="S34" i="54" s="1"/>
  <c r="AA33" i="54"/>
  <c r="X33" i="54"/>
  <c r="R33" i="54"/>
  <c r="S33" i="54" s="1"/>
  <c r="AA32" i="54"/>
  <c r="X32" i="54"/>
  <c r="R32" i="54"/>
  <c r="S32" i="54" s="1"/>
  <c r="AA31" i="54"/>
  <c r="X31" i="54"/>
  <c r="R31" i="54"/>
  <c r="S31" i="54" s="1"/>
  <c r="AA30" i="54"/>
  <c r="X30" i="54"/>
  <c r="R30" i="54"/>
  <c r="S30" i="54" s="1"/>
  <c r="AA29" i="54"/>
  <c r="X29" i="54"/>
  <c r="R29" i="54"/>
  <c r="S29" i="54" s="1"/>
  <c r="U29" i="54" s="1"/>
  <c r="AA28" i="54"/>
  <c r="X28" i="54"/>
  <c r="R28" i="54"/>
  <c r="S28" i="54" s="1"/>
  <c r="U28" i="54" s="1"/>
  <c r="AA27" i="54"/>
  <c r="X27" i="54"/>
  <c r="R27" i="54"/>
  <c r="S27" i="54" s="1"/>
  <c r="AA26" i="54"/>
  <c r="X26" i="54"/>
  <c r="R26" i="54"/>
  <c r="S26" i="54" s="1"/>
  <c r="AA25" i="54"/>
  <c r="X25" i="54"/>
  <c r="R25" i="54"/>
  <c r="S25" i="54" s="1"/>
  <c r="AA24" i="54"/>
  <c r="X24" i="54"/>
  <c r="AA23" i="54"/>
  <c r="X23" i="54"/>
  <c r="AA22" i="54"/>
  <c r="X22" i="54"/>
  <c r="T22" i="54"/>
  <c r="O22" i="54"/>
  <c r="P22" i="54" s="1"/>
  <c r="AA21" i="54"/>
  <c r="X21" i="54"/>
  <c r="O21" i="54"/>
  <c r="P21" i="54" s="1"/>
  <c r="AA20" i="54"/>
  <c r="X20" i="54"/>
  <c r="T20" i="54"/>
  <c r="O20" i="54"/>
  <c r="P20" i="54" s="1"/>
  <c r="AA19" i="54"/>
  <c r="X19" i="54"/>
  <c r="T19" i="54"/>
  <c r="O19" i="54"/>
  <c r="P19" i="54" s="1"/>
  <c r="AA18" i="54"/>
  <c r="X18" i="54"/>
  <c r="T18" i="54"/>
  <c r="O18" i="54"/>
  <c r="P18" i="54" s="1"/>
  <c r="AA17" i="54"/>
  <c r="X17" i="54"/>
  <c r="T17" i="54"/>
  <c r="O17" i="54"/>
  <c r="P17" i="54" s="1"/>
  <c r="AA16" i="54"/>
  <c r="X16" i="54"/>
  <c r="T16" i="54"/>
  <c r="O16" i="54"/>
  <c r="AA15" i="54"/>
  <c r="X15" i="54"/>
  <c r="T15" i="54"/>
  <c r="O15" i="54"/>
  <c r="P15" i="54" s="1"/>
  <c r="AA14" i="54"/>
  <c r="X14" i="54"/>
  <c r="O14" i="54"/>
  <c r="P14" i="54" s="1"/>
  <c r="AA13" i="54"/>
  <c r="X13" i="54"/>
  <c r="T13" i="54"/>
  <c r="O13" i="54"/>
  <c r="P13" i="54" s="1"/>
  <c r="AA12" i="54"/>
  <c r="X12" i="54"/>
  <c r="T12" i="54"/>
  <c r="O12" i="54"/>
  <c r="P12" i="54" s="1"/>
  <c r="AA11" i="54"/>
  <c r="X11" i="54"/>
  <c r="R11" i="54"/>
  <c r="S11" i="54" s="1"/>
  <c r="T11" i="54" s="1"/>
  <c r="O11" i="54"/>
  <c r="E11" i="54"/>
  <c r="D11" i="54"/>
  <c r="AA10" i="54"/>
  <c r="X10" i="54"/>
  <c r="R10" i="54"/>
  <c r="S10" i="54" s="1"/>
  <c r="T10" i="54" s="1"/>
  <c r="O10" i="54"/>
  <c r="P10" i="54" s="1"/>
  <c r="E10" i="54"/>
  <c r="D10" i="54"/>
  <c r="AA9" i="54"/>
  <c r="X9" i="54"/>
  <c r="R9" i="54"/>
  <c r="S9" i="54" s="1"/>
  <c r="T9" i="54" s="1"/>
  <c r="O9" i="54"/>
  <c r="P9" i="54" s="1"/>
  <c r="E9" i="54"/>
  <c r="D9" i="54"/>
  <c r="AA8" i="54"/>
  <c r="X8" i="54"/>
  <c r="R8" i="54"/>
  <c r="S8" i="54" s="1"/>
  <c r="T8" i="54" s="1"/>
  <c r="O8" i="54"/>
  <c r="P8" i="54" s="1"/>
  <c r="E8" i="54"/>
  <c r="D8" i="54"/>
  <c r="AA7" i="54"/>
  <c r="X7" i="54"/>
  <c r="R7" i="54"/>
  <c r="S7" i="54" s="1"/>
  <c r="O7" i="54"/>
  <c r="P7" i="54" s="1"/>
  <c r="E7" i="54"/>
  <c r="D7" i="54"/>
  <c r="AA6" i="54"/>
  <c r="X6" i="54"/>
  <c r="R6" i="54"/>
  <c r="S6" i="54" s="1"/>
  <c r="O6" i="54"/>
  <c r="E6" i="54"/>
  <c r="D6" i="54"/>
  <c r="AA5" i="54"/>
  <c r="X5" i="54"/>
  <c r="R5" i="54"/>
  <c r="S5" i="54" s="1"/>
  <c r="T5" i="54" s="1"/>
  <c r="O5" i="54"/>
  <c r="E5" i="54"/>
  <c r="D5" i="54"/>
  <c r="AA4" i="54"/>
  <c r="X4" i="54"/>
  <c r="R4" i="54"/>
  <c r="S4" i="54" s="1"/>
  <c r="O4" i="54"/>
  <c r="P4" i="54" s="1"/>
  <c r="Y18" i="24"/>
  <c r="Y19" i="24"/>
  <c r="Y20" i="24"/>
  <c r="Y21" i="24"/>
  <c r="V18" i="24"/>
  <c r="V19" i="24"/>
  <c r="V20" i="24"/>
  <c r="V21" i="24"/>
  <c r="P18" i="24"/>
  <c r="Q18" i="24" s="1"/>
  <c r="P19" i="24"/>
  <c r="Q19" i="24" s="1"/>
  <c r="R19" i="24" s="1"/>
  <c r="P20" i="24"/>
  <c r="Q20" i="24" s="1"/>
  <c r="R20" i="24" s="1"/>
  <c r="P21" i="24"/>
  <c r="Q21" i="24" s="1"/>
  <c r="R21" i="24" s="1"/>
  <c r="M19" i="24"/>
  <c r="N19" i="24" s="1"/>
  <c r="M20" i="24"/>
  <c r="N20" i="24" s="1"/>
  <c r="M21" i="24"/>
  <c r="M18" i="24"/>
  <c r="N18" i="24" s="1"/>
  <c r="E18" i="24"/>
  <c r="E19" i="24"/>
  <c r="E20" i="24"/>
  <c r="E21" i="24"/>
  <c r="D18" i="24"/>
  <c r="D19" i="24"/>
  <c r="D20" i="24"/>
  <c r="D21" i="24"/>
  <c r="Y10" i="24"/>
  <c r="Y11" i="24"/>
  <c r="Y12" i="24"/>
  <c r="Y13" i="24"/>
  <c r="Y14" i="24"/>
  <c r="P14" i="24"/>
  <c r="Q14" i="24" s="1"/>
  <c r="R14" i="24" s="1"/>
  <c r="P10" i="24"/>
  <c r="Q10" i="24" s="1"/>
  <c r="P11" i="24"/>
  <c r="Q11" i="24" s="1"/>
  <c r="R11" i="24" s="1"/>
  <c r="P12" i="24"/>
  <c r="Q12" i="24" s="1"/>
  <c r="R12" i="24" s="1"/>
  <c r="P13" i="24"/>
  <c r="Q13" i="24" s="1"/>
  <c r="R13" i="24" s="1"/>
  <c r="M10" i="24"/>
  <c r="M11" i="24"/>
  <c r="M12" i="24"/>
  <c r="M13" i="24"/>
  <c r="M14" i="24"/>
  <c r="E14" i="24"/>
  <c r="D14" i="24"/>
  <c r="E13" i="24"/>
  <c r="D13" i="24"/>
  <c r="E12" i="24"/>
  <c r="D12" i="24"/>
  <c r="E11" i="24"/>
  <c r="E10" i="24"/>
  <c r="D10" i="24"/>
  <c r="P118" i="24"/>
  <c r="Q118" i="24" s="1"/>
  <c r="R118" i="24" s="1"/>
  <c r="P119" i="24"/>
  <c r="Q119" i="24" s="1"/>
  <c r="R119" i="24" s="1"/>
  <c r="P120" i="24"/>
  <c r="P121" i="24"/>
  <c r="P122" i="24"/>
  <c r="Q122" i="24" s="1"/>
  <c r="R122" i="24" s="1"/>
  <c r="P123" i="24"/>
  <c r="Q123" i="24" s="1"/>
  <c r="R123" i="24" s="1"/>
  <c r="P124" i="24"/>
  <c r="Q124" i="24" s="1"/>
  <c r="P125" i="24"/>
  <c r="Q125" i="24" s="1"/>
  <c r="R125" i="24" s="1"/>
  <c r="P126" i="24"/>
  <c r="Q126" i="24" s="1"/>
  <c r="R126" i="24" s="1"/>
  <c r="P127" i="24"/>
  <c r="Q127" i="24" s="1"/>
  <c r="R127" i="24" s="1"/>
  <c r="P128" i="24"/>
  <c r="Q128" i="24" s="1"/>
  <c r="P129" i="24"/>
  <c r="Q129" i="24" s="1"/>
  <c r="P130" i="24"/>
  <c r="Q130" i="24" s="1"/>
  <c r="P131" i="24"/>
  <c r="Q131" i="24" s="1"/>
  <c r="R131" i="24" s="1"/>
  <c r="P132" i="24"/>
  <c r="Q132" i="24" s="1"/>
  <c r="R132" i="24" s="1"/>
  <c r="P133" i="24"/>
  <c r="Q133" i="24" s="1"/>
  <c r="P134" i="24"/>
  <c r="Q134" i="24" s="1"/>
  <c r="P135" i="24"/>
  <c r="Q135" i="24" s="1"/>
  <c r="R135" i="24" s="1"/>
  <c r="P136" i="24"/>
  <c r="Q136" i="24" s="1"/>
  <c r="R136" i="24" s="1"/>
  <c r="P137" i="24"/>
  <c r="Q137" i="24" s="1"/>
  <c r="R137" i="24" s="1"/>
  <c r="P138" i="24"/>
  <c r="Q138" i="24" s="1"/>
  <c r="P139" i="24"/>
  <c r="Q139" i="24" s="1"/>
  <c r="R139" i="24" s="1"/>
  <c r="P140" i="24"/>
  <c r="Q140" i="24" s="1"/>
  <c r="R140" i="24" s="1"/>
  <c r="P141" i="24"/>
  <c r="Q141" i="24" s="1"/>
  <c r="P142" i="24"/>
  <c r="Q142" i="24" s="1"/>
  <c r="R142" i="24" s="1"/>
  <c r="P143" i="24"/>
  <c r="Q143" i="24" s="1"/>
  <c r="R143" i="24" s="1"/>
  <c r="P144" i="24"/>
  <c r="Q144" i="24" s="1"/>
  <c r="R144" i="24" s="1"/>
  <c r="P145" i="24"/>
  <c r="Q145" i="24" s="1"/>
  <c r="R145" i="24" s="1"/>
  <c r="P146" i="24"/>
  <c r="Q146" i="24" s="1"/>
  <c r="R146" i="24" s="1"/>
  <c r="P147" i="24"/>
  <c r="Q147" i="24" s="1"/>
  <c r="R147" i="24" s="1"/>
  <c r="P148" i="24"/>
  <c r="Q148" i="24" s="1"/>
  <c r="R148" i="24" s="1"/>
  <c r="P149" i="24"/>
  <c r="Q149" i="24" s="1"/>
  <c r="R149" i="24" s="1"/>
  <c r="P150" i="24"/>
  <c r="Q150" i="24" s="1"/>
  <c r="R150" i="24" s="1"/>
  <c r="P151" i="24"/>
  <c r="Q151" i="24" s="1"/>
  <c r="P152" i="24"/>
  <c r="Q152" i="24" s="1"/>
  <c r="R152" i="24" s="1"/>
  <c r="P153" i="24"/>
  <c r="Q153" i="24" s="1"/>
  <c r="P154" i="24"/>
  <c r="Q154" i="24" s="1"/>
  <c r="R154" i="24" s="1"/>
  <c r="P155" i="24"/>
  <c r="Q155" i="24" s="1"/>
  <c r="R155" i="24" s="1"/>
  <c r="P156" i="24"/>
  <c r="Q156" i="24" s="1"/>
  <c r="R156" i="24" s="1"/>
  <c r="P157" i="24"/>
  <c r="Q157" i="24" s="1"/>
  <c r="R157" i="24" s="1"/>
  <c r="P158" i="24"/>
  <c r="Q158" i="24" s="1"/>
  <c r="P159" i="24"/>
  <c r="Q159" i="24" s="1"/>
  <c r="P160" i="24"/>
  <c r="Q160" i="24" s="1"/>
  <c r="P161" i="24"/>
  <c r="Q161" i="24" s="1"/>
  <c r="R161" i="24" s="1"/>
  <c r="P162" i="24"/>
  <c r="Q162" i="24" s="1"/>
  <c r="R162" i="24" s="1"/>
  <c r="P163" i="24"/>
  <c r="Q163" i="24" s="1"/>
  <c r="P164" i="24"/>
  <c r="Q164" i="24" s="1"/>
  <c r="P165" i="24"/>
  <c r="Q165" i="24" s="1"/>
  <c r="R165" i="24" s="1"/>
  <c r="P166" i="24"/>
  <c r="Q166" i="24" s="1"/>
  <c r="R166" i="24" s="1"/>
  <c r="P167" i="24"/>
  <c r="Q167" i="24" s="1"/>
  <c r="R167" i="24" s="1"/>
  <c r="P168" i="24"/>
  <c r="Q168" i="24" s="1"/>
  <c r="P169" i="24"/>
  <c r="Q169" i="24" s="1"/>
  <c r="P170" i="24"/>
  <c r="Q170" i="24" s="1"/>
  <c r="P171" i="24"/>
  <c r="Q171" i="24" s="1"/>
  <c r="P172" i="24"/>
  <c r="Q172" i="24" s="1"/>
  <c r="R172" i="24" s="1"/>
  <c r="P173" i="24"/>
  <c r="Q173" i="24" s="1"/>
  <c r="R173" i="24" s="1"/>
  <c r="P174" i="24"/>
  <c r="Q174" i="24" s="1"/>
  <c r="P175" i="24"/>
  <c r="Q175" i="24" s="1"/>
  <c r="R175" i="24" s="1"/>
  <c r="P176" i="24"/>
  <c r="Q176" i="24" s="1"/>
  <c r="R176" i="24" s="1"/>
  <c r="P177" i="24"/>
  <c r="Q177" i="24" s="1"/>
  <c r="R177" i="24" s="1"/>
  <c r="P178" i="24"/>
  <c r="Q178" i="24" s="1"/>
  <c r="R178" i="24" s="1"/>
  <c r="P179" i="24"/>
  <c r="Q179" i="24" s="1"/>
  <c r="P180" i="24"/>
  <c r="Q180" i="24" s="1"/>
  <c r="R180" i="24" s="1"/>
  <c r="P181" i="24"/>
  <c r="Q181" i="24" s="1"/>
  <c r="P182" i="24"/>
  <c r="Q182" i="24" s="1"/>
  <c r="R182" i="24" s="1"/>
  <c r="P183" i="24"/>
  <c r="Q183" i="24" s="1"/>
  <c r="R183" i="24" s="1"/>
  <c r="P184" i="24"/>
  <c r="Q184" i="24" s="1"/>
  <c r="R184" i="24" s="1"/>
  <c r="P185" i="24"/>
  <c r="Q185" i="24" s="1"/>
  <c r="R185" i="24" s="1"/>
  <c r="P186" i="24"/>
  <c r="Q186" i="24" s="1"/>
  <c r="R186" i="24" s="1"/>
  <c r="P187" i="24"/>
  <c r="Q187" i="24" s="1"/>
  <c r="R187" i="24" s="1"/>
  <c r="P188" i="24"/>
  <c r="Q188" i="24" s="1"/>
  <c r="R188" i="24" s="1"/>
  <c r="P189" i="24"/>
  <c r="Q189" i="24" s="1"/>
  <c r="R189" i="24" s="1"/>
  <c r="P190" i="24"/>
  <c r="Q190" i="24" s="1"/>
  <c r="P191" i="24"/>
  <c r="Q191" i="24" s="1"/>
  <c r="R191" i="24" s="1"/>
  <c r="P192" i="24"/>
  <c r="Q192" i="24" s="1"/>
  <c r="R192" i="24" s="1"/>
  <c r="P193" i="24"/>
  <c r="Q193" i="24" s="1"/>
  <c r="P194" i="24"/>
  <c r="Q194" i="24" s="1"/>
  <c r="P195" i="24"/>
  <c r="Q195" i="24" s="1"/>
  <c r="R195" i="24" s="1"/>
  <c r="P196" i="24"/>
  <c r="Q196" i="24" s="1"/>
  <c r="R196" i="24" s="1"/>
  <c r="P197" i="24"/>
  <c r="Q197" i="24" s="1"/>
  <c r="R197" i="24" s="1"/>
  <c r="P198" i="24"/>
  <c r="Q198" i="24" s="1"/>
  <c r="P199" i="24"/>
  <c r="Q199" i="24" s="1"/>
  <c r="R199" i="24" s="1"/>
  <c r="P200" i="24"/>
  <c r="Q200" i="24" s="1"/>
  <c r="P201" i="24"/>
  <c r="Q201" i="24" s="1"/>
  <c r="R201" i="24" s="1"/>
  <c r="P202" i="24"/>
  <c r="Q202" i="24" s="1"/>
  <c r="R202" i="24" s="1"/>
  <c r="P203" i="24"/>
  <c r="Q203" i="24" s="1"/>
  <c r="R203" i="24" s="1"/>
  <c r="P204" i="24"/>
  <c r="Q204" i="24" s="1"/>
  <c r="P205" i="24"/>
  <c r="Q205" i="24" s="1"/>
  <c r="R205" i="24" s="1"/>
  <c r="P206" i="24"/>
  <c r="Q206" i="24" s="1"/>
  <c r="R206" i="24" s="1"/>
  <c r="P207" i="24"/>
  <c r="Q207" i="24" s="1"/>
  <c r="P208" i="24"/>
  <c r="Q208" i="24" s="1"/>
  <c r="P209" i="24"/>
  <c r="Q209" i="24" s="1"/>
  <c r="R209" i="24" s="1"/>
  <c r="P210" i="24"/>
  <c r="P211" i="24"/>
  <c r="P212" i="24"/>
  <c r="P213" i="24"/>
  <c r="Q213" i="24" s="1"/>
  <c r="R213" i="24" s="1"/>
  <c r="P214" i="24"/>
  <c r="Q214" i="24" s="1"/>
  <c r="R214" i="24" s="1"/>
  <c r="P215" i="24"/>
  <c r="Q215" i="24" s="1"/>
  <c r="R215" i="24" s="1"/>
  <c r="P216" i="24"/>
  <c r="Q216" i="24" s="1"/>
  <c r="R216" i="24" s="1"/>
  <c r="P217" i="24"/>
  <c r="Q217" i="24" s="1"/>
  <c r="R217" i="24" s="1"/>
  <c r="P218" i="24"/>
  <c r="Q218" i="24" s="1"/>
  <c r="P219" i="24"/>
  <c r="Q219" i="24" s="1"/>
  <c r="P220" i="24"/>
  <c r="Q220" i="24" s="1"/>
  <c r="R220" i="24" s="1"/>
  <c r="P221" i="24"/>
  <c r="Q221" i="24" s="1"/>
  <c r="R221" i="24" s="1"/>
  <c r="P222" i="24"/>
  <c r="Q222" i="24" s="1"/>
  <c r="R222" i="24" s="1"/>
  <c r="P223" i="24"/>
  <c r="Q223" i="24" s="1"/>
  <c r="R223" i="24" s="1"/>
  <c r="P224" i="24"/>
  <c r="Q224" i="24" s="1"/>
  <c r="R224" i="24" s="1"/>
  <c r="P225" i="24"/>
  <c r="Q225" i="24" s="1"/>
  <c r="R225" i="24" s="1"/>
  <c r="P226" i="24"/>
  <c r="Q226" i="24" s="1"/>
  <c r="R226" i="24" s="1"/>
  <c r="P227" i="24"/>
  <c r="Q227" i="24" s="1"/>
  <c r="R227" i="24" s="1"/>
  <c r="P228" i="24"/>
  <c r="Q228" i="24" s="1"/>
  <c r="R228" i="24" s="1"/>
  <c r="P229" i="24"/>
  <c r="Q229" i="24" s="1"/>
  <c r="R229" i="24" s="1"/>
  <c r="P230" i="24"/>
  <c r="Q230" i="24" s="1"/>
  <c r="P231" i="24"/>
  <c r="Q231" i="24" s="1"/>
  <c r="R231" i="24" s="1"/>
  <c r="P232" i="24"/>
  <c r="Q232" i="24" s="1"/>
  <c r="R232" i="24" s="1"/>
  <c r="P233" i="24"/>
  <c r="Q233" i="24" s="1"/>
  <c r="R233" i="24" s="1"/>
  <c r="P234" i="24"/>
  <c r="Q234" i="24" s="1"/>
  <c r="P235" i="24"/>
  <c r="Q235" i="24" s="1"/>
  <c r="R235" i="24" s="1"/>
  <c r="P236" i="24"/>
  <c r="Q236" i="24" s="1"/>
  <c r="R236" i="24" s="1"/>
  <c r="P237" i="24"/>
  <c r="Q237" i="24" s="1"/>
  <c r="R237" i="24" s="1"/>
  <c r="P238" i="24"/>
  <c r="Q238" i="24" s="1"/>
  <c r="P239" i="24"/>
  <c r="Q239" i="24" s="1"/>
  <c r="P240" i="24"/>
  <c r="P241" i="24"/>
  <c r="Q241" i="24" s="1"/>
  <c r="P242" i="24"/>
  <c r="Q242" i="24" s="1"/>
  <c r="R242" i="24" s="1"/>
  <c r="P243" i="24"/>
  <c r="Q243" i="24" s="1"/>
  <c r="R243" i="24" s="1"/>
  <c r="P244" i="24"/>
  <c r="Q244" i="24" s="1"/>
  <c r="R244" i="24" s="1"/>
  <c r="P245" i="24"/>
  <c r="Q245" i="24" s="1"/>
  <c r="R245" i="24" s="1"/>
  <c r="P246" i="24"/>
  <c r="Q246" i="24" s="1"/>
  <c r="R246" i="24" s="1"/>
  <c r="P247" i="24"/>
  <c r="Q247" i="24" s="1"/>
  <c r="R247" i="24" s="1"/>
  <c r="P248" i="24"/>
  <c r="Q248" i="24" s="1"/>
  <c r="R248" i="24" s="1"/>
  <c r="P249" i="24"/>
  <c r="Q249" i="24" s="1"/>
  <c r="P250" i="24"/>
  <c r="Q250" i="24" s="1"/>
  <c r="R250" i="24" s="1"/>
  <c r="P251" i="24"/>
  <c r="Q251" i="24" s="1"/>
  <c r="P252" i="24"/>
  <c r="Q252" i="24" s="1"/>
  <c r="R252" i="24" s="1"/>
  <c r="P253" i="24"/>
  <c r="Q253" i="24" s="1"/>
  <c r="R253" i="24" s="1"/>
  <c r="P254" i="24"/>
  <c r="Q254" i="24" s="1"/>
  <c r="R254" i="24" s="1"/>
  <c r="P255" i="24"/>
  <c r="Q255" i="24" s="1"/>
  <c r="R255" i="24" s="1"/>
  <c r="P256" i="24"/>
  <c r="Q256" i="24" s="1"/>
  <c r="R256" i="24" s="1"/>
  <c r="P257" i="24"/>
  <c r="Q257" i="24" s="1"/>
  <c r="R257" i="24" s="1"/>
  <c r="P258" i="24"/>
  <c r="Q258" i="24" s="1"/>
  <c r="P259" i="24"/>
  <c r="Q259" i="24" s="1"/>
  <c r="R259" i="24" s="1"/>
  <c r="P260" i="24"/>
  <c r="Q260" i="24" s="1"/>
  <c r="R260" i="24" s="1"/>
  <c r="P261" i="24"/>
  <c r="Q261" i="24" s="1"/>
  <c r="R261" i="24" s="1"/>
  <c r="P87" i="24"/>
  <c r="R87" i="24" s="1"/>
  <c r="P88" i="24"/>
  <c r="P89" i="24"/>
  <c r="Q89" i="24" s="1"/>
  <c r="P90" i="24"/>
  <c r="Q90" i="24" s="1"/>
  <c r="R90" i="24" s="1"/>
  <c r="P91" i="24"/>
  <c r="Q91" i="24" s="1"/>
  <c r="R91" i="24" s="1"/>
  <c r="P92" i="24"/>
  <c r="Q92" i="24" s="1"/>
  <c r="P93" i="24"/>
  <c r="Q93" i="24" s="1"/>
  <c r="R93" i="24" s="1"/>
  <c r="P94" i="24"/>
  <c r="Q94" i="24" s="1"/>
  <c r="R94" i="24" s="1"/>
  <c r="P95" i="24"/>
  <c r="P96" i="24"/>
  <c r="P97" i="24"/>
  <c r="Q97" i="24" s="1"/>
  <c r="R97" i="24" s="1"/>
  <c r="P98" i="24"/>
  <c r="Q98" i="24" s="1"/>
  <c r="P99" i="24"/>
  <c r="Q99" i="24" s="1"/>
  <c r="R99" i="24" s="1"/>
  <c r="P100" i="24"/>
  <c r="Q100" i="24" s="1"/>
  <c r="R100" i="24" s="1"/>
  <c r="P101" i="24"/>
  <c r="Q101" i="24" s="1"/>
  <c r="R101" i="24" s="1"/>
  <c r="P102" i="24"/>
  <c r="Q102" i="24" s="1"/>
  <c r="P103" i="24"/>
  <c r="Q103" i="24" s="1"/>
  <c r="P104" i="24"/>
  <c r="Q104" i="24" s="1"/>
  <c r="P105" i="24"/>
  <c r="P106" i="24"/>
  <c r="P107" i="24"/>
  <c r="P108" i="24"/>
  <c r="Q108" i="24" s="1"/>
  <c r="R108" i="24" s="1"/>
  <c r="P109" i="24"/>
  <c r="Q109" i="24" s="1"/>
  <c r="P110" i="24"/>
  <c r="Q110" i="24" s="1"/>
  <c r="P111" i="24"/>
  <c r="Q111" i="24" s="1"/>
  <c r="P112" i="24"/>
  <c r="Q112" i="24" s="1"/>
  <c r="R112" i="24" s="1"/>
  <c r="P113" i="24"/>
  <c r="Q113" i="24" s="1"/>
  <c r="R113" i="24" s="1"/>
  <c r="P114" i="24"/>
  <c r="Q114" i="24" s="1"/>
  <c r="P115" i="24"/>
  <c r="P116" i="24"/>
  <c r="P117" i="24"/>
  <c r="P86" i="24"/>
  <c r="P81" i="24"/>
  <c r="P82" i="24"/>
  <c r="R82" i="24" s="1"/>
  <c r="P83" i="24"/>
  <c r="R83" i="24" s="1"/>
  <c r="P84" i="24"/>
  <c r="R84" i="24" s="1"/>
  <c r="P85" i="24"/>
  <c r="R85" i="24" s="1"/>
  <c r="P75" i="24"/>
  <c r="R75" i="24" s="1"/>
  <c r="P76" i="24"/>
  <c r="P77" i="24"/>
  <c r="R77" i="24" s="1"/>
  <c r="P78" i="24"/>
  <c r="R78" i="24" s="1"/>
  <c r="P79" i="24"/>
  <c r="R79" i="24" s="1"/>
  <c r="P74" i="24"/>
  <c r="P69" i="24"/>
  <c r="R69" i="24" s="1"/>
  <c r="P70" i="24"/>
  <c r="P71" i="24"/>
  <c r="P72" i="24"/>
  <c r="P73" i="24"/>
  <c r="P68" i="24"/>
  <c r="R68" i="24" s="1"/>
  <c r="P63" i="24"/>
  <c r="R63" i="24" s="1"/>
  <c r="P64" i="24"/>
  <c r="R64" i="24" s="1"/>
  <c r="P65" i="24"/>
  <c r="P66" i="24"/>
  <c r="R66" i="24" s="1"/>
  <c r="P67" i="24"/>
  <c r="R67" i="24" s="1"/>
  <c r="P57" i="24"/>
  <c r="Q57" i="24" s="1"/>
  <c r="R57" i="24" s="1"/>
  <c r="P58" i="24"/>
  <c r="Q58" i="24" s="1"/>
  <c r="P59" i="24"/>
  <c r="Q59" i="24" s="1"/>
  <c r="R59" i="24" s="1"/>
  <c r="P60" i="24"/>
  <c r="Q60" i="24" s="1"/>
  <c r="R60" i="24" s="1"/>
  <c r="P61" i="24"/>
  <c r="Q61" i="24" s="1"/>
  <c r="R61" i="24" s="1"/>
  <c r="P56" i="24"/>
  <c r="Q56" i="24" s="1"/>
  <c r="P51" i="24"/>
  <c r="Q51" i="24" s="1"/>
  <c r="R51" i="24" s="1"/>
  <c r="P52" i="24"/>
  <c r="Q52" i="24" s="1"/>
  <c r="R52" i="24" s="1"/>
  <c r="P53" i="24"/>
  <c r="Q53" i="24" s="1"/>
  <c r="R53" i="24" s="1"/>
  <c r="P54" i="24"/>
  <c r="Q54" i="24" s="1"/>
  <c r="R54" i="24" s="1"/>
  <c r="P55" i="24"/>
  <c r="Q55" i="24" s="1"/>
  <c r="R55" i="24" s="1"/>
  <c r="P50" i="24"/>
  <c r="Q50" i="24" s="1"/>
  <c r="P45" i="24"/>
  <c r="R45" i="24" s="1"/>
  <c r="P46" i="24"/>
  <c r="R46" i="24" s="1"/>
  <c r="P47" i="24"/>
  <c r="R47" i="24" s="1"/>
  <c r="P48" i="24"/>
  <c r="P49" i="24"/>
  <c r="Q49" i="24" s="1"/>
  <c r="P39" i="24"/>
  <c r="R39" i="24" s="1"/>
  <c r="P40" i="24"/>
  <c r="R40" i="24" s="1"/>
  <c r="P41" i="24"/>
  <c r="R41" i="24" s="1"/>
  <c r="P42" i="24"/>
  <c r="P43" i="24"/>
  <c r="R43" i="24" s="1"/>
  <c r="V261" i="24"/>
  <c r="V260" i="24"/>
  <c r="V259" i="24"/>
  <c r="V258" i="24"/>
  <c r="V257" i="24"/>
  <c r="V256" i="24"/>
  <c r="V255" i="24"/>
  <c r="V254" i="24"/>
  <c r="V253" i="24"/>
  <c r="V252" i="24"/>
  <c r="V251" i="24"/>
  <c r="V250" i="24"/>
  <c r="V249" i="24"/>
  <c r="V248" i="24"/>
  <c r="V247" i="24"/>
  <c r="V246" i="24"/>
  <c r="V245" i="24"/>
  <c r="V244" i="24"/>
  <c r="V243" i="24"/>
  <c r="V242" i="24"/>
  <c r="V241" i="24"/>
  <c r="V240" i="24"/>
  <c r="V239" i="24"/>
  <c r="V238" i="24"/>
  <c r="V237" i="24"/>
  <c r="V236" i="24"/>
  <c r="V235" i="24"/>
  <c r="V234" i="24"/>
  <c r="V233" i="24"/>
  <c r="V232" i="24"/>
  <c r="V231" i="24"/>
  <c r="V230" i="24"/>
  <c r="V229" i="24"/>
  <c r="V228" i="24"/>
  <c r="V227" i="24"/>
  <c r="V226" i="24"/>
  <c r="V225" i="24"/>
  <c r="V224" i="24"/>
  <c r="V223" i="24"/>
  <c r="V222" i="24"/>
  <c r="V221" i="24"/>
  <c r="V220" i="24"/>
  <c r="V219" i="24"/>
  <c r="V218" i="24"/>
  <c r="V217" i="24"/>
  <c r="V216" i="24"/>
  <c r="V215" i="24"/>
  <c r="V214" i="24"/>
  <c r="V213" i="24"/>
  <c r="V212" i="24"/>
  <c r="AG212" i="24" s="1"/>
  <c r="AF212" i="24" s="1"/>
  <c r="V211" i="24"/>
  <c r="V210" i="24"/>
  <c r="V208" i="24"/>
  <c r="V207" i="24"/>
  <c r="V206" i="24"/>
  <c r="V205" i="24"/>
  <c r="V204" i="24"/>
  <c r="V203" i="24"/>
  <c r="V202" i="24"/>
  <c r="V201" i="24"/>
  <c r="V200" i="24"/>
  <c r="V199" i="24"/>
  <c r="V198" i="24"/>
  <c r="V197" i="24"/>
  <c r="V196" i="24"/>
  <c r="V195" i="24"/>
  <c r="V194" i="24"/>
  <c r="V193" i="24"/>
  <c r="V192" i="24"/>
  <c r="V191" i="24"/>
  <c r="V190" i="24"/>
  <c r="V189" i="24"/>
  <c r="V188" i="24"/>
  <c r="V187" i="24"/>
  <c r="V186" i="24"/>
  <c r="V185" i="24"/>
  <c r="V184" i="24"/>
  <c r="V183" i="24"/>
  <c r="V182" i="24"/>
  <c r="V181" i="24"/>
  <c r="V180" i="24"/>
  <c r="V179" i="24"/>
  <c r="V178" i="24"/>
  <c r="V177" i="24"/>
  <c r="V176" i="24"/>
  <c r="V175" i="24"/>
  <c r="V174" i="24"/>
  <c r="V173" i="24"/>
  <c r="V172" i="24"/>
  <c r="V171" i="24"/>
  <c r="V170" i="24"/>
  <c r="V169" i="24"/>
  <c r="V168" i="24"/>
  <c r="V167" i="24"/>
  <c r="V166" i="24"/>
  <c r="V165" i="24"/>
  <c r="V164" i="24"/>
  <c r="V163" i="24"/>
  <c r="V162" i="24"/>
  <c r="V161" i="24"/>
  <c r="V160" i="24"/>
  <c r="V159" i="24"/>
  <c r="V158" i="24"/>
  <c r="V157" i="24"/>
  <c r="V156" i="24"/>
  <c r="V155" i="24"/>
  <c r="V154" i="24"/>
  <c r="V153" i="24"/>
  <c r="V152" i="24"/>
  <c r="V151" i="24"/>
  <c r="V150" i="24"/>
  <c r="V149" i="24"/>
  <c r="V148" i="24"/>
  <c r="V147" i="24"/>
  <c r="V146" i="24"/>
  <c r="V145" i="24"/>
  <c r="V144" i="24"/>
  <c r="V143" i="24"/>
  <c r="V142" i="24"/>
  <c r="V141" i="24"/>
  <c r="V140" i="24"/>
  <c r="V139" i="24"/>
  <c r="V138" i="24"/>
  <c r="V137" i="24"/>
  <c r="V136" i="24"/>
  <c r="V135" i="24"/>
  <c r="V134" i="24"/>
  <c r="V133" i="24"/>
  <c r="V132" i="24"/>
  <c r="V131" i="24"/>
  <c r="V130" i="24"/>
  <c r="V129" i="24"/>
  <c r="V128" i="24"/>
  <c r="V127" i="24"/>
  <c r="V126" i="24"/>
  <c r="V125" i="24"/>
  <c r="V124" i="24"/>
  <c r="V123" i="24"/>
  <c r="V122" i="24"/>
  <c r="V121" i="24"/>
  <c r="V120" i="24"/>
  <c r="V119" i="24"/>
  <c r="V118" i="24"/>
  <c r="V117" i="24"/>
  <c r="V116" i="24"/>
  <c r="AG116" i="24" s="1"/>
  <c r="AF116" i="24" s="1"/>
  <c r="V115" i="24"/>
  <c r="V114" i="24"/>
  <c r="V113" i="24"/>
  <c r="V112" i="24"/>
  <c r="V111" i="24"/>
  <c r="V110" i="24"/>
  <c r="V109" i="24"/>
  <c r="V108" i="24"/>
  <c r="V107" i="24"/>
  <c r="V106" i="24"/>
  <c r="V105" i="24"/>
  <c r="V104" i="24"/>
  <c r="V103" i="24"/>
  <c r="V102" i="24"/>
  <c r="V101" i="24"/>
  <c r="V100" i="24"/>
  <c r="V99" i="24"/>
  <c r="V98" i="24"/>
  <c r="V97" i="24"/>
  <c r="V96" i="24"/>
  <c r="R96" i="24"/>
  <c r="V95" i="24"/>
  <c r="V94" i="24"/>
  <c r="V93" i="24"/>
  <c r="V92" i="24"/>
  <c r="V91" i="24"/>
  <c r="V90" i="24"/>
  <c r="V89" i="24"/>
  <c r="V88" i="24"/>
  <c r="V87" i="24"/>
  <c r="V86" i="24"/>
  <c r="V85" i="24"/>
  <c r="V84" i="24"/>
  <c r="V83" i="24"/>
  <c r="V82" i="24"/>
  <c r="V81" i="24"/>
  <c r="V80" i="24"/>
  <c r="V79" i="24"/>
  <c r="V78" i="24"/>
  <c r="V77" i="24"/>
  <c r="V76" i="24"/>
  <c r="V75" i="24"/>
  <c r="V74" i="24"/>
  <c r="V73" i="24"/>
  <c r="V72" i="24"/>
  <c r="V71" i="24"/>
  <c r="V70" i="24"/>
  <c r="V69" i="24"/>
  <c r="V68" i="24"/>
  <c r="V67" i="24"/>
  <c r="V66" i="24"/>
  <c r="V65" i="24"/>
  <c r="V64" i="24"/>
  <c r="V63" i="24"/>
  <c r="V62" i="24"/>
  <c r="V61" i="24"/>
  <c r="V60" i="24"/>
  <c r="V59" i="24"/>
  <c r="V58" i="24"/>
  <c r="V57" i="24"/>
  <c r="V56" i="24"/>
  <c r="V55" i="24"/>
  <c r="V54" i="24"/>
  <c r="V53" i="24"/>
  <c r="V52" i="24"/>
  <c r="V51" i="24"/>
  <c r="V50" i="24"/>
  <c r="V49" i="24"/>
  <c r="V48" i="24"/>
  <c r="V47" i="24"/>
  <c r="V46" i="24"/>
  <c r="V45" i="24"/>
  <c r="V44" i="24"/>
  <c r="V43" i="24"/>
  <c r="V42" i="24"/>
  <c r="V41" i="24"/>
  <c r="V40" i="24"/>
  <c r="V39" i="24"/>
  <c r="V38" i="24"/>
  <c r="V37" i="24"/>
  <c r="V36" i="24"/>
  <c r="V35" i="24"/>
  <c r="V34" i="24"/>
  <c r="V33" i="24"/>
  <c r="V32" i="24"/>
  <c r="V31" i="24"/>
  <c r="V30" i="24"/>
  <c r="V29" i="24"/>
  <c r="V27" i="24"/>
  <c r="V26" i="24"/>
  <c r="V25" i="24"/>
  <c r="V24" i="24"/>
  <c r="V23" i="24"/>
  <c r="V22" i="24"/>
  <c r="V17" i="24"/>
  <c r="V16" i="24"/>
  <c r="V15" i="24"/>
  <c r="V8" i="24"/>
  <c r="V7" i="24"/>
  <c r="R7" i="24"/>
  <c r="V6" i="24"/>
  <c r="R6" i="24"/>
  <c r="V5" i="24"/>
  <c r="R5" i="24"/>
  <c r="V4" i="24"/>
  <c r="R4" i="24"/>
  <c r="P33" i="24"/>
  <c r="R33" i="24" s="1"/>
  <c r="P34" i="24"/>
  <c r="P35" i="24"/>
  <c r="P36" i="24"/>
  <c r="P37" i="24"/>
  <c r="R37" i="24" s="1"/>
  <c r="P32" i="24"/>
  <c r="P26" i="24"/>
  <c r="P27" i="24"/>
  <c r="P29" i="24"/>
  <c r="P30" i="24"/>
  <c r="R30" i="24" s="1"/>
  <c r="P31" i="24"/>
  <c r="R31" i="24" s="1"/>
  <c r="P25" i="24"/>
  <c r="P16" i="24"/>
  <c r="Q16" i="24" s="1"/>
  <c r="R16" i="24" s="1"/>
  <c r="P17" i="24"/>
  <c r="Q17" i="24" s="1"/>
  <c r="R17" i="24" s="1"/>
  <c r="P22" i="24"/>
  <c r="P23" i="24"/>
  <c r="P24" i="24"/>
  <c r="P4" i="24"/>
  <c r="M103" i="24"/>
  <c r="N103" i="24" s="1"/>
  <c r="M104" i="24"/>
  <c r="N104" i="24" s="1"/>
  <c r="M105" i="24"/>
  <c r="N105" i="24" s="1"/>
  <c r="M106" i="24"/>
  <c r="N106" i="24" s="1"/>
  <c r="M107" i="24"/>
  <c r="N107" i="24" s="1"/>
  <c r="M108" i="24"/>
  <c r="N108" i="24" s="1"/>
  <c r="M109" i="24"/>
  <c r="N109" i="24" s="1"/>
  <c r="M110" i="24"/>
  <c r="N110" i="24" s="1"/>
  <c r="M111" i="24"/>
  <c r="N111" i="24" s="1"/>
  <c r="M112" i="24"/>
  <c r="M113" i="24"/>
  <c r="M114" i="24"/>
  <c r="N114" i="24" s="1"/>
  <c r="M115" i="24"/>
  <c r="N115" i="24" s="1"/>
  <c r="M116" i="24"/>
  <c r="N116" i="24" s="1"/>
  <c r="M117" i="24"/>
  <c r="N117" i="24" s="1"/>
  <c r="M118" i="24"/>
  <c r="N118" i="24" s="1"/>
  <c r="M119" i="24"/>
  <c r="N119" i="24" s="1"/>
  <c r="M120" i="24"/>
  <c r="N120" i="24" s="1"/>
  <c r="M121" i="24"/>
  <c r="N121" i="24" s="1"/>
  <c r="M122" i="24"/>
  <c r="M123" i="24"/>
  <c r="N123" i="24" s="1"/>
  <c r="M124" i="24"/>
  <c r="N124" i="24" s="1"/>
  <c r="M125" i="24"/>
  <c r="N125" i="24" s="1"/>
  <c r="M126" i="24"/>
  <c r="N126" i="24" s="1"/>
  <c r="M127" i="24"/>
  <c r="M128" i="24"/>
  <c r="N128" i="24" s="1"/>
  <c r="M129" i="24"/>
  <c r="N129" i="24" s="1"/>
  <c r="M130" i="24"/>
  <c r="N130" i="24" s="1"/>
  <c r="M131" i="24"/>
  <c r="N131" i="24" s="1"/>
  <c r="M132" i="24"/>
  <c r="M133" i="24"/>
  <c r="N133" i="24" s="1"/>
  <c r="M134" i="24"/>
  <c r="N134" i="24" s="1"/>
  <c r="M135" i="24"/>
  <c r="N135" i="24" s="1"/>
  <c r="M136" i="24"/>
  <c r="N136" i="24" s="1"/>
  <c r="M137" i="24"/>
  <c r="M138" i="24"/>
  <c r="N138" i="24" s="1"/>
  <c r="M139" i="24"/>
  <c r="N139" i="24" s="1"/>
  <c r="M140" i="24"/>
  <c r="M141" i="24"/>
  <c r="N141" i="24" s="1"/>
  <c r="M142" i="24"/>
  <c r="M143" i="24"/>
  <c r="N143" i="24" s="1"/>
  <c r="M144" i="24"/>
  <c r="N144" i="24" s="1"/>
  <c r="M145" i="24"/>
  <c r="N145" i="24" s="1"/>
  <c r="M146" i="24"/>
  <c r="M147" i="24"/>
  <c r="N147" i="24" s="1"/>
  <c r="M148" i="24"/>
  <c r="N148" i="24" s="1"/>
  <c r="M149" i="24"/>
  <c r="N149" i="24" s="1"/>
  <c r="M150" i="24"/>
  <c r="N150" i="24" s="1"/>
  <c r="M151" i="24"/>
  <c r="N151" i="24" s="1"/>
  <c r="M152" i="24"/>
  <c r="M153" i="24"/>
  <c r="N153" i="24" s="1"/>
  <c r="M154" i="24"/>
  <c r="N154" i="24" s="1"/>
  <c r="M155" i="24"/>
  <c r="M156" i="24"/>
  <c r="M157" i="24"/>
  <c r="N157" i="24" s="1"/>
  <c r="M158" i="24"/>
  <c r="N158" i="24" s="1"/>
  <c r="M159" i="24"/>
  <c r="N159" i="24" s="1"/>
  <c r="M160" i="24"/>
  <c r="N160" i="24" s="1"/>
  <c r="M161" i="24"/>
  <c r="N161" i="24" s="1"/>
  <c r="M162" i="24"/>
  <c r="N162" i="24" s="1"/>
  <c r="M163" i="24"/>
  <c r="N163" i="24" s="1"/>
  <c r="M164" i="24"/>
  <c r="N164" i="24" s="1"/>
  <c r="M165" i="24"/>
  <c r="M166" i="24"/>
  <c r="N166" i="24" s="1"/>
  <c r="M167" i="24"/>
  <c r="N167" i="24" s="1"/>
  <c r="M168" i="24"/>
  <c r="N168" i="24" s="1"/>
  <c r="M169" i="24"/>
  <c r="N169" i="24" s="1"/>
  <c r="M170" i="24"/>
  <c r="N170" i="24" s="1"/>
  <c r="M171" i="24"/>
  <c r="N171" i="24" s="1"/>
  <c r="M172" i="24"/>
  <c r="N172" i="24" s="1"/>
  <c r="M173" i="24"/>
  <c r="N173" i="24" s="1"/>
  <c r="M174" i="24"/>
  <c r="N174" i="24" s="1"/>
  <c r="M175" i="24"/>
  <c r="N175" i="24" s="1"/>
  <c r="M176" i="24"/>
  <c r="M177" i="24"/>
  <c r="M178" i="24"/>
  <c r="N178" i="24" s="1"/>
  <c r="M179" i="24"/>
  <c r="N179" i="24" s="1"/>
  <c r="M180" i="24"/>
  <c r="N180" i="24" s="1"/>
  <c r="M181" i="24"/>
  <c r="N181" i="24" s="1"/>
  <c r="M182" i="24"/>
  <c r="N182" i="24" s="1"/>
  <c r="M183" i="24"/>
  <c r="N183" i="24" s="1"/>
  <c r="M184" i="24"/>
  <c r="N184" i="24" s="1"/>
  <c r="M185" i="24"/>
  <c r="N185" i="24" s="1"/>
  <c r="M186" i="24"/>
  <c r="M187" i="24"/>
  <c r="M188" i="24"/>
  <c r="N188" i="24" s="1"/>
  <c r="M189" i="24"/>
  <c r="N189" i="24" s="1"/>
  <c r="M190" i="24"/>
  <c r="N190" i="24" s="1"/>
  <c r="M191" i="24"/>
  <c r="N191" i="24" s="1"/>
  <c r="M192" i="24"/>
  <c r="M193" i="24"/>
  <c r="N193" i="24" s="1"/>
  <c r="M194" i="24"/>
  <c r="N194" i="24" s="1"/>
  <c r="M195" i="24"/>
  <c r="N195" i="24" s="1"/>
  <c r="M196" i="24"/>
  <c r="M197" i="24"/>
  <c r="M198" i="24"/>
  <c r="N198" i="24" s="1"/>
  <c r="M199" i="24"/>
  <c r="M200" i="24"/>
  <c r="N200" i="24" s="1"/>
  <c r="M201" i="24"/>
  <c r="N201" i="24" s="1"/>
  <c r="M202" i="24"/>
  <c r="N202" i="24" s="1"/>
  <c r="M203" i="24"/>
  <c r="N203" i="24" s="1"/>
  <c r="M204" i="24"/>
  <c r="N204" i="24" s="1"/>
  <c r="M205" i="24"/>
  <c r="M206" i="24"/>
  <c r="M207" i="24"/>
  <c r="N207" i="24" s="1"/>
  <c r="M208" i="24"/>
  <c r="N208" i="24" s="1"/>
  <c r="M209" i="24"/>
  <c r="N209" i="24" s="1"/>
  <c r="M210" i="24"/>
  <c r="N210" i="24" s="1"/>
  <c r="M211" i="24"/>
  <c r="N211" i="24" s="1"/>
  <c r="M212" i="24"/>
  <c r="N212" i="24" s="1"/>
  <c r="M213" i="24"/>
  <c r="N213" i="24" s="1"/>
  <c r="M214" i="24"/>
  <c r="N214" i="24" s="1"/>
  <c r="M215" i="24"/>
  <c r="N215" i="24" s="1"/>
  <c r="M216" i="24"/>
  <c r="M217" i="24"/>
  <c r="M218" i="24"/>
  <c r="N218" i="24" s="1"/>
  <c r="M219" i="24"/>
  <c r="N219" i="24" s="1"/>
  <c r="M220" i="24"/>
  <c r="M221" i="24"/>
  <c r="N221" i="24" s="1"/>
  <c r="M222" i="24"/>
  <c r="M223" i="24"/>
  <c r="M224" i="24"/>
  <c r="N224" i="24" s="1"/>
  <c r="M225" i="24"/>
  <c r="M226" i="24"/>
  <c r="N226" i="24" s="1"/>
  <c r="M227" i="24"/>
  <c r="M228" i="24"/>
  <c r="N228" i="24" s="1"/>
  <c r="M229" i="24"/>
  <c r="N229" i="24" s="1"/>
  <c r="M230" i="24"/>
  <c r="N230" i="24" s="1"/>
  <c r="M231" i="24"/>
  <c r="N231" i="24" s="1"/>
  <c r="M232" i="24"/>
  <c r="M233" i="24"/>
  <c r="M234" i="24"/>
  <c r="N234" i="24" s="1"/>
  <c r="M235" i="24"/>
  <c r="N235" i="24" s="1"/>
  <c r="M236" i="24"/>
  <c r="M237" i="24"/>
  <c r="M238" i="24"/>
  <c r="N238" i="24" s="1"/>
  <c r="M239" i="24"/>
  <c r="N239" i="24" s="1"/>
  <c r="M240" i="24"/>
  <c r="N240" i="24" s="1"/>
  <c r="M241" i="24"/>
  <c r="N241" i="24" s="1"/>
  <c r="M242" i="24"/>
  <c r="N242" i="24" s="1"/>
  <c r="M243" i="24"/>
  <c r="M244" i="24"/>
  <c r="N244" i="24" s="1"/>
  <c r="M245" i="24"/>
  <c r="N245" i="24" s="1"/>
  <c r="M246" i="24"/>
  <c r="M247" i="24"/>
  <c r="M248" i="24"/>
  <c r="N248" i="24" s="1"/>
  <c r="M249" i="24"/>
  <c r="N249" i="24" s="1"/>
  <c r="M250" i="24"/>
  <c r="N250" i="24" s="1"/>
  <c r="M251" i="24"/>
  <c r="N251" i="24" s="1"/>
  <c r="M252" i="24"/>
  <c r="M253" i="24"/>
  <c r="N253" i="24" s="1"/>
  <c r="M254" i="24"/>
  <c r="N254" i="24" s="1"/>
  <c r="M255" i="24"/>
  <c r="N255" i="24" s="1"/>
  <c r="M256" i="24"/>
  <c r="M257" i="24"/>
  <c r="M258" i="24"/>
  <c r="N258" i="24" s="1"/>
  <c r="M259" i="24"/>
  <c r="M260" i="24"/>
  <c r="M261" i="24"/>
  <c r="N261" i="24" s="1"/>
  <c r="M80" i="24"/>
  <c r="M81" i="24"/>
  <c r="N81" i="24" s="1"/>
  <c r="M82" i="24"/>
  <c r="N82" i="24" s="1"/>
  <c r="M83" i="24"/>
  <c r="M84" i="24"/>
  <c r="M85" i="24"/>
  <c r="N85" i="24" s="1"/>
  <c r="M86" i="24"/>
  <c r="N86" i="24" s="1"/>
  <c r="M87" i="24"/>
  <c r="N87" i="24" s="1"/>
  <c r="M88" i="24"/>
  <c r="N88" i="24" s="1"/>
  <c r="M89" i="24"/>
  <c r="N89" i="24" s="1"/>
  <c r="M90" i="24"/>
  <c r="M91" i="24"/>
  <c r="N91" i="24" s="1"/>
  <c r="M92" i="24"/>
  <c r="N92" i="24" s="1"/>
  <c r="M93" i="24"/>
  <c r="N93" i="24" s="1"/>
  <c r="M94" i="24"/>
  <c r="M95" i="24"/>
  <c r="N95" i="24" s="1"/>
  <c r="M96" i="24"/>
  <c r="N96" i="24" s="1"/>
  <c r="M97" i="24"/>
  <c r="N97" i="24" s="1"/>
  <c r="M98" i="24"/>
  <c r="N98" i="24" s="1"/>
  <c r="M99" i="24"/>
  <c r="N99" i="24" s="1"/>
  <c r="M100" i="24"/>
  <c r="M101" i="24"/>
  <c r="M102" i="24"/>
  <c r="N102" i="24" s="1"/>
  <c r="M67" i="24"/>
  <c r="M68" i="24"/>
  <c r="M69" i="24"/>
  <c r="N69" i="24" s="1"/>
  <c r="M70" i="24"/>
  <c r="N70" i="24" s="1"/>
  <c r="M71" i="24"/>
  <c r="N71" i="24" s="1"/>
  <c r="M72" i="24"/>
  <c r="N72" i="24" s="1"/>
  <c r="M73" i="24"/>
  <c r="N73" i="24" s="1"/>
  <c r="M74" i="24"/>
  <c r="M75" i="24"/>
  <c r="M76" i="24"/>
  <c r="N76" i="24" s="1"/>
  <c r="M77" i="24"/>
  <c r="N77" i="24" s="1"/>
  <c r="M78" i="24"/>
  <c r="M79" i="24"/>
  <c r="N79" i="24" s="1"/>
  <c r="M65" i="24"/>
  <c r="N65" i="24" s="1"/>
  <c r="M66" i="24"/>
  <c r="M63" i="24"/>
  <c r="N63" i="24" s="1"/>
  <c r="M64" i="24"/>
  <c r="N64" i="24" s="1"/>
  <c r="M62" i="24"/>
  <c r="M57" i="24"/>
  <c r="N57" i="24" s="1"/>
  <c r="M58" i="24"/>
  <c r="N58" i="24" s="1"/>
  <c r="M59" i="24"/>
  <c r="M60" i="24"/>
  <c r="N60" i="24" s="1"/>
  <c r="M61" i="24"/>
  <c r="N61" i="24" s="1"/>
  <c r="M56" i="24"/>
  <c r="N56" i="24" s="1"/>
  <c r="M51" i="24"/>
  <c r="N51" i="24" s="1"/>
  <c r="M52" i="24"/>
  <c r="N52" i="24" s="1"/>
  <c r="M53" i="24"/>
  <c r="N53" i="24" s="1"/>
  <c r="M54" i="24"/>
  <c r="N54" i="24" s="1"/>
  <c r="M55" i="24"/>
  <c r="N55" i="24" s="1"/>
  <c r="M50" i="24"/>
  <c r="N50" i="24" s="1"/>
  <c r="M45" i="24"/>
  <c r="N45" i="24" s="1"/>
  <c r="M46" i="24"/>
  <c r="M47" i="24"/>
  <c r="N47" i="24" s="1"/>
  <c r="M48" i="24"/>
  <c r="N48" i="24" s="1"/>
  <c r="M49" i="24"/>
  <c r="N49" i="24" s="1"/>
  <c r="M44" i="24"/>
  <c r="N44" i="24" s="1"/>
  <c r="M39" i="24"/>
  <c r="N39" i="24" s="1"/>
  <c r="M40" i="24"/>
  <c r="M41" i="24"/>
  <c r="M42" i="24"/>
  <c r="N42" i="24" s="1"/>
  <c r="M43" i="24"/>
  <c r="N43" i="24" s="1"/>
  <c r="M38" i="24"/>
  <c r="N38" i="24" s="1"/>
  <c r="M33" i="24"/>
  <c r="M34" i="24"/>
  <c r="N34" i="24" s="1"/>
  <c r="M35" i="24"/>
  <c r="N35" i="24" s="1"/>
  <c r="M36" i="24"/>
  <c r="N36" i="24" s="1"/>
  <c r="M37" i="24"/>
  <c r="N37" i="24" s="1"/>
  <c r="M26" i="24"/>
  <c r="N26" i="24" s="1"/>
  <c r="M27" i="24"/>
  <c r="N27" i="24" s="1"/>
  <c r="M29" i="24"/>
  <c r="N29" i="24" s="1"/>
  <c r="M30" i="24"/>
  <c r="N30" i="24" s="1"/>
  <c r="M31" i="24"/>
  <c r="N31" i="24" s="1"/>
  <c r="M25" i="24"/>
  <c r="M16" i="24"/>
  <c r="M17" i="24"/>
  <c r="M22" i="24"/>
  <c r="N22" i="24" s="1"/>
  <c r="M23" i="24"/>
  <c r="N23" i="24" s="1"/>
  <c r="M24" i="24"/>
  <c r="N24" i="24" s="1"/>
  <c r="D194" i="24"/>
  <c r="E194" i="24"/>
  <c r="D195" i="24"/>
  <c r="D261" i="24"/>
  <c r="E261" i="24"/>
  <c r="D256" i="24"/>
  <c r="E256" i="24"/>
  <c r="D257" i="24"/>
  <c r="E257" i="24"/>
  <c r="D258" i="24"/>
  <c r="E258" i="24"/>
  <c r="D259" i="24"/>
  <c r="E259" i="24"/>
  <c r="D260" i="24"/>
  <c r="E260" i="24"/>
  <c r="D255" i="24"/>
  <c r="E255" i="24"/>
  <c r="D250" i="24"/>
  <c r="E250" i="24"/>
  <c r="D251" i="24"/>
  <c r="E251" i="24"/>
  <c r="D252" i="24"/>
  <c r="E252" i="24"/>
  <c r="D253" i="24"/>
  <c r="E253" i="24"/>
  <c r="D254" i="24"/>
  <c r="E254" i="24"/>
  <c r="D249" i="24"/>
  <c r="E249" i="24"/>
  <c r="D244" i="24"/>
  <c r="E244" i="24"/>
  <c r="D245" i="24"/>
  <c r="E245" i="24"/>
  <c r="D246" i="24"/>
  <c r="E246" i="24"/>
  <c r="D247" i="24"/>
  <c r="E247" i="24"/>
  <c r="D248" i="24"/>
  <c r="E248" i="24"/>
  <c r="D243" i="24"/>
  <c r="E243" i="24"/>
  <c r="D238" i="24"/>
  <c r="E238" i="24"/>
  <c r="D239" i="24"/>
  <c r="E239" i="24"/>
  <c r="D240" i="24"/>
  <c r="E240" i="24"/>
  <c r="D241" i="24"/>
  <c r="E241" i="24"/>
  <c r="D242" i="24"/>
  <c r="E242" i="24"/>
  <c r="D237" i="24"/>
  <c r="E237" i="24"/>
  <c r="D232" i="24"/>
  <c r="E232" i="24"/>
  <c r="D233" i="24"/>
  <c r="E233" i="24"/>
  <c r="D234" i="24"/>
  <c r="E234" i="24"/>
  <c r="D235" i="24"/>
  <c r="E235" i="24"/>
  <c r="D236" i="24"/>
  <c r="E236" i="24"/>
  <c r="D231" i="24"/>
  <c r="E231" i="24"/>
  <c r="D226" i="24"/>
  <c r="E226" i="24"/>
  <c r="D227" i="24"/>
  <c r="E227" i="24"/>
  <c r="D228" i="24"/>
  <c r="E228" i="24"/>
  <c r="D229" i="24"/>
  <c r="E229" i="24"/>
  <c r="D230" i="24"/>
  <c r="E230" i="24"/>
  <c r="D225" i="24"/>
  <c r="E225" i="24"/>
  <c r="D220" i="24"/>
  <c r="E220" i="24"/>
  <c r="D221" i="24"/>
  <c r="E221" i="24"/>
  <c r="D222" i="24"/>
  <c r="E222" i="24"/>
  <c r="D223" i="24"/>
  <c r="E223" i="24"/>
  <c r="D224" i="24"/>
  <c r="E224" i="24"/>
  <c r="D219" i="24"/>
  <c r="E219" i="24"/>
  <c r="D214" i="24"/>
  <c r="E214" i="24"/>
  <c r="D215" i="24"/>
  <c r="E215" i="24"/>
  <c r="D216" i="24"/>
  <c r="E216" i="24"/>
  <c r="D217" i="24"/>
  <c r="E217" i="24"/>
  <c r="D218" i="24"/>
  <c r="E218" i="24"/>
  <c r="D213" i="24"/>
  <c r="E213" i="24"/>
  <c r="D209" i="24"/>
  <c r="D210" i="24"/>
  <c r="E210" i="24"/>
  <c r="D211" i="24"/>
  <c r="E211" i="24"/>
  <c r="D212" i="24"/>
  <c r="E212" i="24"/>
  <c r="D207" i="24"/>
  <c r="E207" i="24"/>
  <c r="D202" i="24"/>
  <c r="E202" i="24"/>
  <c r="D203" i="24"/>
  <c r="E203" i="24"/>
  <c r="D204" i="24"/>
  <c r="E204" i="24"/>
  <c r="D205" i="24"/>
  <c r="E205" i="24"/>
  <c r="D206" i="24"/>
  <c r="E206" i="24"/>
  <c r="D201" i="24"/>
  <c r="E201" i="24"/>
  <c r="D196" i="24"/>
  <c r="E196" i="24"/>
  <c r="D197" i="24"/>
  <c r="E197" i="24"/>
  <c r="D198" i="24"/>
  <c r="E198" i="24"/>
  <c r="D199" i="24"/>
  <c r="E199" i="24"/>
  <c r="D200" i="24"/>
  <c r="E200" i="24"/>
  <c r="D189" i="24"/>
  <c r="E189" i="24"/>
  <c r="D190" i="24"/>
  <c r="E190" i="24"/>
  <c r="D191" i="24"/>
  <c r="E191" i="24"/>
  <c r="D192" i="24"/>
  <c r="E192" i="24"/>
  <c r="D193" i="24"/>
  <c r="E193" i="24"/>
  <c r="D183" i="24"/>
  <c r="E183" i="24"/>
  <c r="D184" i="24"/>
  <c r="E184" i="24"/>
  <c r="D185" i="24"/>
  <c r="E185" i="24"/>
  <c r="D186" i="24"/>
  <c r="E186" i="24"/>
  <c r="D187" i="24"/>
  <c r="E187" i="24"/>
  <c r="D177" i="24"/>
  <c r="E177" i="24"/>
  <c r="D178" i="24"/>
  <c r="E178" i="24"/>
  <c r="D179" i="24"/>
  <c r="E179" i="24"/>
  <c r="D180" i="24"/>
  <c r="E180" i="24"/>
  <c r="D181" i="24"/>
  <c r="E181" i="24"/>
  <c r="D171" i="24"/>
  <c r="E171" i="24"/>
  <c r="D172" i="24"/>
  <c r="E172" i="24"/>
  <c r="D173" i="24"/>
  <c r="E173" i="24"/>
  <c r="D174" i="24"/>
  <c r="E174" i="24"/>
  <c r="D175" i="24"/>
  <c r="E175" i="24"/>
  <c r="D165" i="24"/>
  <c r="E165" i="24"/>
  <c r="D166" i="24"/>
  <c r="E166" i="24"/>
  <c r="D167" i="24"/>
  <c r="E167" i="24"/>
  <c r="D168" i="24"/>
  <c r="E168" i="24"/>
  <c r="D169" i="24"/>
  <c r="E169" i="24"/>
  <c r="D159" i="24"/>
  <c r="E159" i="24"/>
  <c r="D160" i="24"/>
  <c r="E160" i="24"/>
  <c r="D161" i="24"/>
  <c r="E161" i="24"/>
  <c r="D162" i="24"/>
  <c r="E162" i="24"/>
  <c r="D163" i="24"/>
  <c r="E163" i="24"/>
  <c r="D153" i="24"/>
  <c r="E153" i="24"/>
  <c r="D154" i="24"/>
  <c r="E154" i="24"/>
  <c r="D155" i="24"/>
  <c r="E155" i="24"/>
  <c r="D156" i="24"/>
  <c r="E156" i="24"/>
  <c r="D157" i="24"/>
  <c r="E157" i="24"/>
  <c r="D147" i="24"/>
  <c r="E147" i="24"/>
  <c r="D148" i="24"/>
  <c r="E148" i="24"/>
  <c r="D149" i="24"/>
  <c r="E149" i="24"/>
  <c r="D150" i="24"/>
  <c r="E150" i="24"/>
  <c r="D151" i="24"/>
  <c r="E151" i="24"/>
  <c r="D141" i="24"/>
  <c r="E141" i="24"/>
  <c r="D142" i="24"/>
  <c r="E142" i="24"/>
  <c r="D143" i="24"/>
  <c r="E143" i="24"/>
  <c r="D144" i="24"/>
  <c r="E144" i="24"/>
  <c r="D145" i="24"/>
  <c r="E145" i="24"/>
  <c r="D135" i="24"/>
  <c r="E135" i="24"/>
  <c r="D136" i="24"/>
  <c r="E136" i="24"/>
  <c r="D137" i="24"/>
  <c r="E137" i="24"/>
  <c r="D138" i="24"/>
  <c r="E138" i="24"/>
  <c r="D139" i="24"/>
  <c r="E139" i="24"/>
  <c r="D129" i="24"/>
  <c r="E129" i="24"/>
  <c r="D130" i="24"/>
  <c r="E130" i="24"/>
  <c r="D131" i="24"/>
  <c r="E131" i="24"/>
  <c r="D132" i="24"/>
  <c r="E132" i="24"/>
  <c r="D133" i="24"/>
  <c r="E133" i="24"/>
  <c r="D123" i="24"/>
  <c r="E123" i="24"/>
  <c r="D124" i="24"/>
  <c r="E124" i="24"/>
  <c r="D125" i="24"/>
  <c r="E125" i="24"/>
  <c r="D126" i="24"/>
  <c r="E126" i="24"/>
  <c r="D127" i="24"/>
  <c r="E127" i="24"/>
  <c r="D117" i="24"/>
  <c r="E117" i="24"/>
  <c r="D118" i="24"/>
  <c r="E118" i="24"/>
  <c r="D119" i="24"/>
  <c r="E119" i="24"/>
  <c r="D120" i="24"/>
  <c r="E120" i="24"/>
  <c r="D121" i="24"/>
  <c r="E121" i="24"/>
  <c r="D116" i="24"/>
  <c r="E116" i="24"/>
  <c r="D111" i="24"/>
  <c r="E111" i="24"/>
  <c r="D112" i="24"/>
  <c r="E112" i="24"/>
  <c r="D113" i="24"/>
  <c r="E113" i="24"/>
  <c r="D114" i="24"/>
  <c r="E114" i="24"/>
  <c r="D115" i="24"/>
  <c r="E115" i="24"/>
  <c r="D105" i="24"/>
  <c r="E105" i="24"/>
  <c r="D106" i="24"/>
  <c r="E106" i="24"/>
  <c r="D107" i="24"/>
  <c r="E107" i="24"/>
  <c r="D108" i="24"/>
  <c r="E108" i="24"/>
  <c r="D109" i="24"/>
  <c r="E109" i="24"/>
  <c r="D99" i="24"/>
  <c r="E99" i="24"/>
  <c r="D100" i="24"/>
  <c r="E100" i="24"/>
  <c r="D101" i="24"/>
  <c r="E101" i="24"/>
  <c r="D102" i="24"/>
  <c r="E102" i="24"/>
  <c r="D103" i="24"/>
  <c r="E103" i="24"/>
  <c r="D93" i="24"/>
  <c r="E93" i="24"/>
  <c r="D94" i="24"/>
  <c r="E94" i="24"/>
  <c r="D95" i="24"/>
  <c r="E95" i="24"/>
  <c r="D96" i="24"/>
  <c r="E96" i="24"/>
  <c r="D97" i="24"/>
  <c r="E97" i="24"/>
  <c r="D87" i="24"/>
  <c r="E87" i="24"/>
  <c r="D88" i="24"/>
  <c r="E88" i="24"/>
  <c r="D89" i="24"/>
  <c r="E89" i="24"/>
  <c r="D90" i="24"/>
  <c r="E90" i="24"/>
  <c r="D91" i="24"/>
  <c r="E91" i="24"/>
  <c r="D81" i="24"/>
  <c r="E81" i="24"/>
  <c r="D82" i="24"/>
  <c r="E82" i="24"/>
  <c r="D83" i="24"/>
  <c r="E83" i="24"/>
  <c r="D84" i="24"/>
  <c r="E84" i="24"/>
  <c r="D85" i="24"/>
  <c r="E85" i="24"/>
  <c r="D75" i="24"/>
  <c r="E75" i="24"/>
  <c r="D76" i="24"/>
  <c r="E76" i="24"/>
  <c r="D77" i="24"/>
  <c r="E77" i="24"/>
  <c r="D78" i="24"/>
  <c r="E78" i="24"/>
  <c r="D79" i="24"/>
  <c r="E79" i="24"/>
  <c r="D69" i="24"/>
  <c r="E69" i="24"/>
  <c r="D70" i="24"/>
  <c r="E70" i="24"/>
  <c r="E71" i="24"/>
  <c r="D72" i="24"/>
  <c r="E72" i="24"/>
  <c r="D73" i="24"/>
  <c r="E73" i="24"/>
  <c r="D63" i="24"/>
  <c r="E63" i="24"/>
  <c r="D64" i="24"/>
  <c r="E64" i="24"/>
  <c r="D65" i="24"/>
  <c r="E65" i="24"/>
  <c r="D66" i="24"/>
  <c r="E66" i="24"/>
  <c r="D67" i="24"/>
  <c r="E67" i="24"/>
  <c r="E57" i="24"/>
  <c r="D58" i="24"/>
  <c r="E58" i="24"/>
  <c r="D59" i="24"/>
  <c r="E59" i="24"/>
  <c r="D60" i="24"/>
  <c r="E60" i="24"/>
  <c r="D61" i="24"/>
  <c r="E61" i="24"/>
  <c r="D51" i="24"/>
  <c r="E51" i="24"/>
  <c r="D52" i="24"/>
  <c r="E52" i="24"/>
  <c r="D53" i="24"/>
  <c r="E53" i="24"/>
  <c r="D54" i="24"/>
  <c r="E54" i="24"/>
  <c r="D55" i="24"/>
  <c r="E55" i="24"/>
  <c r="D45" i="24"/>
  <c r="E45" i="24"/>
  <c r="D46" i="24"/>
  <c r="E46" i="24"/>
  <c r="D47" i="24"/>
  <c r="E47" i="24"/>
  <c r="D48" i="24"/>
  <c r="E48" i="24"/>
  <c r="D49" i="24"/>
  <c r="E49" i="24"/>
  <c r="D39" i="24"/>
  <c r="E39" i="24"/>
  <c r="D40" i="24"/>
  <c r="E40" i="24"/>
  <c r="D41" i="24"/>
  <c r="E41" i="24"/>
  <c r="D42" i="24"/>
  <c r="E42" i="24"/>
  <c r="D43" i="24"/>
  <c r="E43" i="24"/>
  <c r="D33" i="24"/>
  <c r="E33" i="24"/>
  <c r="D34" i="24"/>
  <c r="E34" i="24"/>
  <c r="D35" i="24"/>
  <c r="E35" i="24"/>
  <c r="D36" i="24"/>
  <c r="E36" i="24"/>
  <c r="D37" i="24"/>
  <c r="E37" i="24"/>
  <c r="D32" i="24"/>
  <c r="E32" i="24"/>
  <c r="D26" i="24"/>
  <c r="E26" i="24"/>
  <c r="D27" i="24"/>
  <c r="E27" i="24"/>
  <c r="D29" i="24"/>
  <c r="E29" i="24"/>
  <c r="D30" i="24"/>
  <c r="E30" i="24"/>
  <c r="D31" i="24"/>
  <c r="E31" i="24"/>
  <c r="D16" i="24"/>
  <c r="E16" i="24"/>
  <c r="D17" i="24"/>
  <c r="E17" i="24"/>
  <c r="D22" i="24"/>
  <c r="E22" i="24"/>
  <c r="D23" i="24"/>
  <c r="E23" i="24"/>
  <c r="D24" i="24"/>
  <c r="E24" i="24"/>
  <c r="M4" i="24"/>
  <c r="AB14" i="25" s="1"/>
  <c r="Y4" i="24"/>
  <c r="M5" i="24"/>
  <c r="P5" i="24"/>
  <c r="M6" i="24"/>
  <c r="S6" i="24" s="1"/>
  <c r="P6" i="24"/>
  <c r="M7" i="24"/>
  <c r="S7" i="24" s="1"/>
  <c r="P7" i="24"/>
  <c r="M8" i="24"/>
  <c r="N8" i="24" s="1"/>
  <c r="P8" i="24"/>
  <c r="Q8" i="24" s="1"/>
  <c r="R8" i="24" s="1"/>
  <c r="M9" i="24"/>
  <c r="N9" i="24" s="1"/>
  <c r="P9" i="24"/>
  <c r="Q9" i="24" s="1"/>
  <c r="D6" i="24"/>
  <c r="E6" i="24"/>
  <c r="D7" i="24"/>
  <c r="E7" i="24"/>
  <c r="D8" i="24"/>
  <c r="E8" i="24"/>
  <c r="D9" i="24"/>
  <c r="E9" i="24"/>
  <c r="B222" i="28" a="1"/>
  <c r="D182" i="24"/>
  <c r="E182" i="24"/>
  <c r="D188" i="24"/>
  <c r="E188" i="24"/>
  <c r="E195" i="24"/>
  <c r="D176" i="24"/>
  <c r="D25" i="24"/>
  <c r="E25" i="24"/>
  <c r="D38" i="24"/>
  <c r="E38" i="24"/>
  <c r="D44" i="24"/>
  <c r="E44" i="24"/>
  <c r="D50" i="24"/>
  <c r="E50" i="24"/>
  <c r="D56" i="24"/>
  <c r="E56" i="24"/>
  <c r="D62" i="24"/>
  <c r="E62" i="24"/>
  <c r="D68" i="24"/>
  <c r="E68" i="24"/>
  <c r="D74" i="24"/>
  <c r="E74" i="24"/>
  <c r="D80" i="24"/>
  <c r="E80" i="24"/>
  <c r="D86" i="24"/>
  <c r="E86" i="24"/>
  <c r="D92" i="24"/>
  <c r="E92" i="24"/>
  <c r="D98" i="24"/>
  <c r="E98" i="24"/>
  <c r="D104" i="24"/>
  <c r="E104" i="24"/>
  <c r="D110" i="24"/>
  <c r="E110" i="24"/>
  <c r="D122" i="24"/>
  <c r="E122" i="24"/>
  <c r="D128" i="24"/>
  <c r="E128" i="24"/>
  <c r="D134" i="24"/>
  <c r="E134" i="24"/>
  <c r="D140" i="24"/>
  <c r="E140" i="24"/>
  <c r="D146" i="24"/>
  <c r="E146" i="24"/>
  <c r="D152" i="24"/>
  <c r="E152" i="24"/>
  <c r="D158" i="24"/>
  <c r="E158" i="24"/>
  <c r="D164" i="24"/>
  <c r="E164" i="24"/>
  <c r="D170" i="24"/>
  <c r="E170" i="24"/>
  <c r="E176" i="24"/>
  <c r="E15" i="24"/>
  <c r="D15" i="24"/>
  <c r="AG30" i="45"/>
  <c r="P54" i="45"/>
  <c r="R12" i="45"/>
  <c r="O40" i="45"/>
  <c r="U30" i="45"/>
  <c r="AA20" i="45"/>
  <c r="AG50" i="45"/>
  <c r="O20" i="45"/>
  <c r="O50" i="45"/>
  <c r="O10" i="45"/>
  <c r="AM10" i="45"/>
  <c r="AM40" i="45"/>
  <c r="J44" i="45"/>
  <c r="P34" i="45"/>
  <c r="AH44" i="45"/>
  <c r="J14" i="45"/>
  <c r="P14" i="45"/>
  <c r="J24" i="45"/>
  <c r="V44" i="45"/>
  <c r="AL45" i="45"/>
  <c r="N15" i="45"/>
  <c r="N55" i="45"/>
  <c r="T45" i="45"/>
  <c r="Z35" i="45"/>
  <c r="AF25" i="45"/>
  <c r="AL15" i="45"/>
  <c r="AL55" i="45"/>
  <c r="N25" i="45"/>
  <c r="T15" i="45"/>
  <c r="T55" i="45"/>
  <c r="Z45" i="45"/>
  <c r="AL25" i="45"/>
  <c r="Z15" i="45"/>
  <c r="Z55" i="45"/>
  <c r="T35" i="45"/>
  <c r="N45" i="45"/>
  <c r="AF15" i="45"/>
  <c r="N35" i="45"/>
  <c r="T25" i="45"/>
  <c r="AF45" i="45"/>
  <c r="AF55" i="45"/>
  <c r="AF35" i="45"/>
  <c r="AL35" i="45"/>
  <c r="Z25" i="45"/>
  <c r="AG34" i="45"/>
  <c r="AM24" i="45"/>
  <c r="O34" i="45"/>
  <c r="U24" i="45"/>
  <c r="AA14" i="45"/>
  <c r="AA54" i="45"/>
  <c r="AG44" i="45"/>
  <c r="AM34" i="45"/>
  <c r="O44" i="45"/>
  <c r="U34" i="45"/>
  <c r="AG14" i="45"/>
  <c r="AG54" i="45"/>
  <c r="U44" i="45"/>
  <c r="O24" i="45"/>
  <c r="AM14" i="45"/>
  <c r="AG24" i="45"/>
  <c r="AA34" i="45"/>
  <c r="AA44" i="45"/>
  <c r="O14" i="45"/>
  <c r="O54" i="45"/>
  <c r="U14" i="45"/>
  <c r="U54" i="45"/>
  <c r="AM44" i="45"/>
  <c r="AM54" i="45"/>
  <c r="AA24" i="45"/>
  <c r="AB23" i="45"/>
  <c r="AH13" i="45"/>
  <c r="AH53" i="45"/>
  <c r="J23" i="45"/>
  <c r="P13" i="45"/>
  <c r="P53" i="45"/>
  <c r="V43" i="45"/>
  <c r="AB33" i="45"/>
  <c r="AH23" i="45"/>
  <c r="J33" i="45"/>
  <c r="P23" i="45"/>
  <c r="V13" i="45"/>
  <c r="AB43" i="45"/>
  <c r="P33" i="45"/>
  <c r="J13" i="45"/>
  <c r="J53" i="45"/>
  <c r="AB13" i="45"/>
  <c r="P43" i="45"/>
  <c r="AB53" i="45"/>
  <c r="V23" i="45"/>
  <c r="V33" i="45"/>
  <c r="AH33" i="45"/>
  <c r="AH43" i="45"/>
  <c r="J43" i="45"/>
  <c r="V53" i="45"/>
  <c r="W29" i="45"/>
  <c r="AC19" i="45"/>
  <c r="AI9" i="45"/>
  <c r="AI49" i="45"/>
  <c r="K19" i="45"/>
  <c r="Q9" i="45"/>
  <c r="Q49" i="45"/>
  <c r="W39" i="45"/>
  <c r="AC29" i="45"/>
  <c r="AI19" i="45"/>
  <c r="K29" i="45"/>
  <c r="Q19" i="45"/>
  <c r="W9" i="45"/>
  <c r="W49" i="45"/>
  <c r="K39" i="45"/>
  <c r="AI39" i="45"/>
  <c r="AI29" i="45"/>
  <c r="AC39" i="45"/>
  <c r="AC49" i="45"/>
  <c r="W19" i="45"/>
  <c r="K49" i="45"/>
  <c r="K9" i="45"/>
  <c r="Q29" i="45"/>
  <c r="Q39" i="45"/>
  <c r="AC9" i="45"/>
  <c r="AG15" i="45"/>
  <c r="AG55" i="45"/>
  <c r="AM45" i="45"/>
  <c r="O15" i="45"/>
  <c r="O55" i="45"/>
  <c r="U45" i="45"/>
  <c r="AA35" i="45"/>
  <c r="AG25" i="45"/>
  <c r="AM15" i="45"/>
  <c r="AM55" i="45"/>
  <c r="O25" i="45"/>
  <c r="U15" i="45"/>
  <c r="U55" i="45"/>
  <c r="AG35" i="45"/>
  <c r="U25" i="45"/>
  <c r="O45" i="45"/>
  <c r="AA15" i="45"/>
  <c r="O35" i="45"/>
  <c r="AA55" i="45"/>
  <c r="AA45" i="45"/>
  <c r="U35" i="45"/>
  <c r="AG45" i="45"/>
  <c r="AM25" i="45"/>
  <c r="AM35" i="45"/>
  <c r="AA25" i="45"/>
  <c r="AL18" i="45"/>
  <c r="N28" i="45"/>
  <c r="T18" i="45"/>
  <c r="Z8" i="45"/>
  <c r="Z48" i="45"/>
  <c r="AF38" i="45"/>
  <c r="AL28" i="45"/>
  <c r="N38" i="45"/>
  <c r="T28" i="45"/>
  <c r="Z18" i="45"/>
  <c r="AF8" i="45"/>
  <c r="AL38" i="45"/>
  <c r="Z28" i="45"/>
  <c r="T8" i="45"/>
  <c r="T48" i="45"/>
  <c r="T38" i="45"/>
  <c r="N8" i="45"/>
  <c r="Z38" i="45"/>
  <c r="N48" i="45"/>
  <c r="AF48" i="45"/>
  <c r="AL48" i="45"/>
  <c r="N18" i="45"/>
  <c r="AF28" i="45"/>
  <c r="AF18" i="45"/>
  <c r="AL8" i="45"/>
  <c r="AG13" i="45"/>
  <c r="AG53" i="45"/>
  <c r="AM43" i="45"/>
  <c r="O13" i="45"/>
  <c r="O53" i="45"/>
  <c r="U43" i="45"/>
  <c r="AA33" i="45"/>
  <c r="AG23" i="45"/>
  <c r="AM13" i="45"/>
  <c r="AM53" i="45"/>
  <c r="O23" i="45"/>
  <c r="U13" i="45"/>
  <c r="U53" i="45"/>
  <c r="AG33" i="45"/>
  <c r="U23" i="45"/>
  <c r="O43" i="45"/>
  <c r="O33" i="45"/>
  <c r="AA53" i="45"/>
  <c r="U33" i="45"/>
  <c r="AA43" i="45"/>
  <c r="AG43" i="45"/>
  <c r="AA23" i="45"/>
  <c r="AM23" i="45"/>
  <c r="AM33" i="45"/>
  <c r="AA13" i="45"/>
  <c r="R20" i="45"/>
  <c r="X10" i="45"/>
  <c r="X50" i="45"/>
  <c r="AD40" i="45"/>
  <c r="AJ30" i="45"/>
  <c r="L40" i="45"/>
  <c r="R30" i="45"/>
  <c r="X20" i="45"/>
  <c r="AD10" i="45"/>
  <c r="AD50" i="45"/>
  <c r="AJ40" i="45"/>
  <c r="L10" i="45"/>
  <c r="R40" i="45"/>
  <c r="AJ10" i="45"/>
  <c r="AJ50" i="45"/>
  <c r="AD30" i="45"/>
  <c r="R50" i="45"/>
  <c r="R10" i="45"/>
  <c r="L30" i="45"/>
  <c r="X30" i="45"/>
  <c r="X40" i="45"/>
  <c r="L20" i="45"/>
  <c r="AD20" i="45"/>
  <c r="AJ20" i="45"/>
  <c r="L50" i="45"/>
  <c r="R24" i="45"/>
  <c r="X14" i="45"/>
  <c r="X54" i="45"/>
  <c r="AD44" i="45"/>
  <c r="AJ34" i="45"/>
  <c r="L44" i="45"/>
  <c r="R34" i="45"/>
  <c r="X24" i="45"/>
  <c r="AD14" i="45"/>
  <c r="AD54" i="45"/>
  <c r="AJ44" i="45"/>
  <c r="L14" i="45"/>
  <c r="R44" i="45"/>
  <c r="AJ14" i="45"/>
  <c r="AJ54" i="45"/>
  <c r="AD34" i="45"/>
  <c r="AD24" i="45"/>
  <c r="AJ24" i="45"/>
  <c r="X34" i="45"/>
  <c r="L54" i="45"/>
  <c r="R14" i="45"/>
  <c r="R54" i="45"/>
  <c r="X44" i="45"/>
  <c r="L24" i="45"/>
  <c r="L34" i="45"/>
  <c r="AJ42" i="45"/>
  <c r="R42" i="45"/>
  <c r="R41" i="45"/>
  <c r="X31" i="45"/>
  <c r="AD21" i="45"/>
  <c r="AJ11" i="45"/>
  <c r="AJ51" i="45"/>
  <c r="L21" i="45"/>
  <c r="R11" i="45"/>
  <c r="R51" i="45"/>
  <c r="X41" i="45"/>
  <c r="AD31" i="45"/>
  <c r="AJ21" i="45"/>
  <c r="R21" i="45"/>
  <c r="AJ31" i="45"/>
  <c r="AD11" i="45"/>
  <c r="AD51" i="45"/>
  <c r="AD41" i="45"/>
  <c r="X21" i="45"/>
  <c r="AJ41" i="45"/>
  <c r="X51" i="45"/>
  <c r="L11" i="45"/>
  <c r="L51" i="45"/>
  <c r="L31" i="45"/>
  <c r="X11" i="45"/>
  <c r="L41" i="45"/>
  <c r="R31" i="45"/>
  <c r="AB37" i="45"/>
  <c r="AH37" i="45"/>
  <c r="J7" i="45"/>
  <c r="J47" i="45"/>
  <c r="P7" i="45"/>
  <c r="P47" i="45"/>
  <c r="V7" i="45"/>
  <c r="V47" i="45"/>
  <c r="AB7" i="45"/>
  <c r="AB47" i="45"/>
  <c r="AH7" i="45"/>
  <c r="AH47" i="45"/>
  <c r="J17" i="45"/>
  <c r="P17" i="45"/>
  <c r="V17" i="45"/>
  <c r="AB17" i="45"/>
  <c r="P27" i="45"/>
  <c r="J37" i="45"/>
  <c r="P37" i="45"/>
  <c r="V27" i="45"/>
  <c r="V37" i="45"/>
  <c r="AH17" i="45"/>
  <c r="J27" i="45"/>
  <c r="AB27" i="45"/>
  <c r="AH27" i="45"/>
  <c r="AB40" i="45"/>
  <c r="AH30" i="45"/>
  <c r="J40" i="45"/>
  <c r="P30" i="45"/>
  <c r="V20" i="45"/>
  <c r="AB10" i="45"/>
  <c r="AB50" i="45"/>
  <c r="AH40" i="45"/>
  <c r="J10" i="45"/>
  <c r="J50" i="45"/>
  <c r="P40" i="45"/>
  <c r="AB20" i="45"/>
  <c r="P10" i="45"/>
  <c r="P50" i="45"/>
  <c r="J30" i="45"/>
  <c r="AH20" i="45"/>
  <c r="V40" i="45"/>
  <c r="V50" i="45"/>
  <c r="V30" i="45"/>
  <c r="J20" i="45"/>
  <c r="AH50" i="45"/>
  <c r="V10" i="45"/>
  <c r="AH10" i="45"/>
  <c r="AB30" i="45"/>
  <c r="P20" i="45"/>
  <c r="W8" i="45"/>
  <c r="W48" i="45"/>
  <c r="AC38" i="45"/>
  <c r="AI28" i="45"/>
  <c r="K38" i="45"/>
  <c r="Q28" i="45"/>
  <c r="W18" i="45"/>
  <c r="AC8" i="45"/>
  <c r="AC48" i="45"/>
  <c r="AI38" i="45"/>
  <c r="K8" i="45"/>
  <c r="K48" i="45"/>
  <c r="W28" i="45"/>
  <c r="K18" i="45"/>
  <c r="AI18" i="45"/>
  <c r="K28" i="45"/>
  <c r="Q8" i="45"/>
  <c r="Q38" i="45"/>
  <c r="W38" i="45"/>
  <c r="AI48" i="45"/>
  <c r="Q48" i="45"/>
  <c r="AC28" i="45"/>
  <c r="AI8" i="45"/>
  <c r="Q18" i="45"/>
  <c r="AC18" i="45"/>
  <c r="AF6" i="45"/>
  <c r="AG9" i="45"/>
  <c r="AG49" i="45"/>
  <c r="AM39" i="45"/>
  <c r="O9" i="45"/>
  <c r="O49" i="45"/>
  <c r="U39" i="45"/>
  <c r="AA29" i="45"/>
  <c r="AG19" i="45"/>
  <c r="AM9" i="45"/>
  <c r="AM49" i="45"/>
  <c r="O19" i="45"/>
  <c r="U9" i="45"/>
  <c r="U49" i="45"/>
  <c r="AG29" i="45"/>
  <c r="U19" i="45"/>
  <c r="O39" i="45"/>
  <c r="AM29" i="45"/>
  <c r="U29" i="45"/>
  <c r="AA19" i="45"/>
  <c r="AM19" i="45"/>
  <c r="AA39" i="45"/>
  <c r="AA9" i="45"/>
  <c r="O29" i="45"/>
  <c r="AG39" i="45"/>
  <c r="AA49" i="45"/>
  <c r="K6" i="45"/>
  <c r="Q6" i="45"/>
  <c r="W6" i="45"/>
  <c r="AC6" i="45"/>
  <c r="AI6" i="45"/>
  <c r="K16" i="45"/>
  <c r="Q16" i="45"/>
  <c r="W16" i="45"/>
  <c r="AC16" i="45"/>
  <c r="AI16" i="45"/>
  <c r="K26" i="45"/>
  <c r="Q26" i="45"/>
  <c r="W26" i="45"/>
  <c r="AC26" i="45"/>
  <c r="AI26" i="45"/>
  <c r="K36" i="45"/>
  <c r="Q36" i="45"/>
  <c r="W36" i="45"/>
  <c r="AC36" i="45"/>
  <c r="AI36" i="45"/>
  <c r="K46" i="45"/>
  <c r="Q46" i="45"/>
  <c r="W46" i="45"/>
  <c r="AC46" i="45"/>
  <c r="AI46" i="45"/>
  <c r="O6" i="45"/>
  <c r="U6" i="45"/>
  <c r="AA6" i="45"/>
  <c r="AG6" i="45"/>
  <c r="AM6" i="45"/>
  <c r="O16" i="45"/>
  <c r="U16" i="45"/>
  <c r="AA16" i="45"/>
  <c r="AG16" i="45"/>
  <c r="AM16" i="45"/>
  <c r="O26" i="45"/>
  <c r="U26" i="45"/>
  <c r="AA26" i="45"/>
  <c r="AG26" i="45"/>
  <c r="AM26" i="45"/>
  <c r="O36" i="45"/>
  <c r="U36" i="45"/>
  <c r="AA36" i="45"/>
  <c r="AG36" i="45"/>
  <c r="AM36" i="45"/>
  <c r="O46" i="45"/>
  <c r="U46" i="45"/>
  <c r="AA46" i="45"/>
  <c r="AG46" i="45"/>
  <c r="AM46" i="45"/>
  <c r="M7" i="45"/>
  <c r="S7" i="45"/>
  <c r="Y7" i="45"/>
  <c r="AE7" i="45"/>
  <c r="AK7" i="45"/>
  <c r="M17" i="45"/>
  <c r="S17" i="45"/>
  <c r="Y17" i="45"/>
  <c r="AE17" i="45"/>
  <c r="AK17" i="45"/>
  <c r="M27" i="45"/>
  <c r="S27" i="45"/>
  <c r="Y27" i="45"/>
  <c r="AE27" i="45"/>
  <c r="AK27" i="45"/>
  <c r="M37" i="45"/>
  <c r="S37" i="45"/>
  <c r="Y37" i="45"/>
  <c r="AE37" i="45"/>
  <c r="AK37" i="45"/>
  <c r="M47" i="45"/>
  <c r="S47" i="45"/>
  <c r="Y47" i="45"/>
  <c r="AE47" i="45"/>
  <c r="AK47" i="45"/>
  <c r="Y261" i="24"/>
  <c r="Y260" i="24"/>
  <c r="Y259" i="24"/>
  <c r="Y258" i="24"/>
  <c r="Y257" i="24"/>
  <c r="Y256" i="24"/>
  <c r="Y255" i="24"/>
  <c r="Y254" i="24"/>
  <c r="Y253" i="24"/>
  <c r="Y252" i="24"/>
  <c r="Y251" i="24"/>
  <c r="Y250" i="24"/>
  <c r="Y249" i="24"/>
  <c r="Y248" i="24"/>
  <c r="Y247" i="24"/>
  <c r="Y246" i="24"/>
  <c r="Y245" i="24"/>
  <c r="Y244" i="24"/>
  <c r="Y243" i="24"/>
  <c r="Y242" i="24"/>
  <c r="Y241" i="24"/>
  <c r="Y240" i="24"/>
  <c r="Y239" i="24"/>
  <c r="Y238" i="24"/>
  <c r="Y237" i="24"/>
  <c r="Y236" i="24"/>
  <c r="Y235" i="24"/>
  <c r="Y234" i="24"/>
  <c r="Y233" i="24"/>
  <c r="Y232" i="24"/>
  <c r="Y231" i="24"/>
  <c r="Y230" i="24"/>
  <c r="Y229" i="24"/>
  <c r="Y228" i="24"/>
  <c r="Y227" i="24"/>
  <c r="Y226" i="24"/>
  <c r="Y225" i="24"/>
  <c r="Y224" i="24"/>
  <c r="Y223" i="24"/>
  <c r="Y222" i="24"/>
  <c r="Y221" i="24"/>
  <c r="Y220" i="24"/>
  <c r="Y219" i="24"/>
  <c r="Y218" i="24"/>
  <c r="Y217" i="24"/>
  <c r="Y216" i="24"/>
  <c r="Y215" i="24"/>
  <c r="Y214" i="24"/>
  <c r="Y213" i="24"/>
  <c r="Y212" i="24"/>
  <c r="Y211" i="24"/>
  <c r="Y210" i="24"/>
  <c r="Y209" i="24"/>
  <c r="Y208" i="24"/>
  <c r="Y207" i="24"/>
  <c r="Y206" i="24"/>
  <c r="Y205" i="24"/>
  <c r="Y204" i="24"/>
  <c r="Y203" i="24"/>
  <c r="Y202" i="24"/>
  <c r="Y201" i="24"/>
  <c r="Y200" i="24"/>
  <c r="Y199" i="24"/>
  <c r="Y198" i="24"/>
  <c r="Y197" i="24"/>
  <c r="Y196" i="24"/>
  <c r="Y195" i="24"/>
  <c r="Y194" i="24"/>
  <c r="Y193" i="24"/>
  <c r="Y192" i="24"/>
  <c r="Y191" i="24"/>
  <c r="Y190" i="24"/>
  <c r="Y189" i="24"/>
  <c r="Y188" i="24"/>
  <c r="Y187" i="24"/>
  <c r="Y186" i="24"/>
  <c r="Y185" i="24"/>
  <c r="Y184" i="24"/>
  <c r="Y183" i="24"/>
  <c r="Y182" i="24"/>
  <c r="Y181" i="24"/>
  <c r="Y180" i="24"/>
  <c r="Y179" i="24"/>
  <c r="Y178" i="24"/>
  <c r="Y177" i="24"/>
  <c r="Y176" i="24"/>
  <c r="Y175" i="24"/>
  <c r="Y174" i="24"/>
  <c r="Y173" i="24"/>
  <c r="Y172" i="24"/>
  <c r="Y171" i="24"/>
  <c r="Y170" i="24"/>
  <c r="Y169" i="24"/>
  <c r="Y168" i="24"/>
  <c r="Y167" i="24"/>
  <c r="Y166" i="24"/>
  <c r="Y165" i="24"/>
  <c r="Y164" i="24"/>
  <c r="Y163" i="24"/>
  <c r="Y162" i="24"/>
  <c r="Y161" i="24"/>
  <c r="Y160" i="24"/>
  <c r="Y159" i="24"/>
  <c r="Y158" i="24"/>
  <c r="Y157" i="24"/>
  <c r="Y156" i="24"/>
  <c r="Y155" i="24"/>
  <c r="Y154" i="24"/>
  <c r="Y153" i="24"/>
  <c r="Y152" i="24"/>
  <c r="Y151" i="24"/>
  <c r="Y150" i="24"/>
  <c r="Y149" i="24"/>
  <c r="Y148" i="24"/>
  <c r="Y147" i="24"/>
  <c r="Y146" i="24"/>
  <c r="Y145" i="24"/>
  <c r="Y144" i="24"/>
  <c r="Y143" i="24"/>
  <c r="Y142" i="24"/>
  <c r="Y141" i="24"/>
  <c r="Y140" i="24"/>
  <c r="Y139" i="24"/>
  <c r="Y138" i="24"/>
  <c r="Y137" i="24"/>
  <c r="Y136" i="24"/>
  <c r="Y135" i="24"/>
  <c r="Y134" i="24"/>
  <c r="Y133" i="24"/>
  <c r="Y132" i="24"/>
  <c r="Y131" i="24"/>
  <c r="Y130" i="24"/>
  <c r="Y129" i="24"/>
  <c r="Y128" i="24"/>
  <c r="Y127" i="24"/>
  <c r="Y126" i="24"/>
  <c r="Y125" i="24"/>
  <c r="Y124" i="24"/>
  <c r="Y123" i="24"/>
  <c r="Y122" i="24"/>
  <c r="Y121" i="24"/>
  <c r="Y120" i="24"/>
  <c r="Y119" i="24"/>
  <c r="Y118" i="24"/>
  <c r="Y117" i="24"/>
  <c r="Y116" i="24"/>
  <c r="Y115" i="24"/>
  <c r="Y114" i="24"/>
  <c r="Y113" i="24"/>
  <c r="Y112" i="24"/>
  <c r="Y111" i="24"/>
  <c r="Y110" i="24"/>
  <c r="Y109" i="24"/>
  <c r="Y108" i="24"/>
  <c r="Y107" i="24"/>
  <c r="Y106" i="24"/>
  <c r="Y105" i="24"/>
  <c r="Y104" i="24"/>
  <c r="Y103" i="24"/>
  <c r="Y102" i="24"/>
  <c r="Y101" i="24"/>
  <c r="Y100" i="24"/>
  <c r="Y99" i="24"/>
  <c r="Y98" i="24"/>
  <c r="Y97" i="24"/>
  <c r="Y96" i="24"/>
  <c r="Y95" i="24"/>
  <c r="Y94" i="24"/>
  <c r="Y93" i="24"/>
  <c r="Y92" i="24"/>
  <c r="Y91" i="24"/>
  <c r="Y90" i="24"/>
  <c r="Y89" i="24"/>
  <c r="Y88" i="24"/>
  <c r="Y87" i="24"/>
  <c r="Y86" i="24"/>
  <c r="Y85" i="24"/>
  <c r="Y84" i="24"/>
  <c r="Y83" i="24"/>
  <c r="Y82" i="24"/>
  <c r="Y81" i="24"/>
  <c r="Y80" i="24"/>
  <c r="Y79" i="24"/>
  <c r="Y78" i="24"/>
  <c r="Y77" i="24"/>
  <c r="Y76" i="24"/>
  <c r="Y75" i="24"/>
  <c r="Y74" i="24"/>
  <c r="Y73" i="24"/>
  <c r="Y72" i="24"/>
  <c r="Y71" i="24"/>
  <c r="Y70" i="24"/>
  <c r="Y69" i="24"/>
  <c r="Y68" i="24"/>
  <c r="Y67" i="24"/>
  <c r="Y66" i="24"/>
  <c r="Y65" i="24"/>
  <c r="Y64" i="24"/>
  <c r="Y63" i="24"/>
  <c r="Y62" i="24"/>
  <c r="AD37" i="45"/>
  <c r="AF27" i="45"/>
  <c r="AL27" i="45"/>
  <c r="Z47" i="45"/>
  <c r="AF47" i="45"/>
  <c r="Z46" i="45"/>
  <c r="X22" i="45"/>
  <c r="X37" i="45"/>
  <c r="R32" i="45"/>
  <c r="L42" i="45"/>
  <c r="Z6" i="45"/>
  <c r="AJ32" i="45"/>
  <c r="U50" i="45"/>
  <c r="AD52" i="45"/>
  <c r="AG10" i="45"/>
  <c r="L52" i="45"/>
  <c r="AM30" i="45"/>
  <c r="AD12" i="45"/>
  <c r="X42" i="45"/>
  <c r="AD32" i="45"/>
  <c r="AG40" i="45"/>
  <c r="AJ52" i="45"/>
  <c r="U20" i="45"/>
  <c r="AJ12" i="45"/>
  <c r="U37" i="45"/>
  <c r="O37" i="45"/>
  <c r="AJ22" i="45"/>
  <c r="AB24" i="45"/>
  <c r="U10" i="45"/>
  <c r="AG17" i="45"/>
  <c r="P44" i="45"/>
  <c r="J54" i="45"/>
  <c r="T47" i="45"/>
  <c r="L12" i="45"/>
  <c r="AB54" i="45"/>
  <c r="U40" i="45"/>
  <c r="T37" i="45"/>
  <c r="AD47" i="45"/>
  <c r="AB14" i="45"/>
  <c r="N37" i="45"/>
  <c r="AJ37" i="45"/>
  <c r="AB34" i="45"/>
  <c r="V24" i="45"/>
  <c r="N27" i="45"/>
  <c r="R37" i="45"/>
  <c r="AH14" i="45"/>
  <c r="AH34" i="45"/>
  <c r="Z17" i="45"/>
  <c r="X27" i="45"/>
  <c r="AH54" i="45"/>
  <c r="AB44" i="45"/>
  <c r="V34" i="45"/>
  <c r="Z7" i="45"/>
  <c r="L27" i="45"/>
  <c r="X32" i="45"/>
  <c r="AD42" i="45"/>
  <c r="V54" i="45"/>
  <c r="AA50" i="45"/>
  <c r="R27" i="45"/>
  <c r="T7" i="45"/>
  <c r="AJ17" i="45"/>
  <c r="L32" i="45"/>
  <c r="X52" i="45"/>
  <c r="V14" i="45"/>
  <c r="AM50" i="45"/>
  <c r="AA10" i="45"/>
  <c r="R17" i="45"/>
  <c r="AD22" i="45"/>
  <c r="R22" i="45"/>
  <c r="AH24" i="45"/>
  <c r="AG20" i="45"/>
  <c r="O30" i="45"/>
  <c r="L22" i="45"/>
  <c r="AD7" i="45"/>
  <c r="R52" i="45"/>
  <c r="J34" i="45"/>
  <c r="AA40" i="45"/>
  <c r="AM20" i="45"/>
  <c r="AF7" i="45"/>
  <c r="AD17" i="45"/>
  <c r="X12" i="45"/>
  <c r="P24" i="45"/>
  <c r="AA37" i="45"/>
  <c r="AA30" i="45"/>
  <c r="N46" i="45"/>
  <c r="N6" i="45"/>
  <c r="AB42" i="45"/>
  <c r="AH32" i="45"/>
  <c r="J42" i="45"/>
  <c r="P32" i="45"/>
  <c r="V22" i="45"/>
  <c r="AB12" i="45"/>
  <c r="AB52" i="45"/>
  <c r="AH42" i="45"/>
  <c r="J12" i="45"/>
  <c r="J52" i="45"/>
  <c r="P42" i="45"/>
  <c r="AB22" i="45"/>
  <c r="P12" i="45"/>
  <c r="P52" i="45"/>
  <c r="J32" i="45"/>
  <c r="J22" i="45"/>
  <c r="V12" i="45"/>
  <c r="V42" i="45"/>
  <c r="V52" i="45"/>
  <c r="AH12" i="45"/>
  <c r="V32" i="45"/>
  <c r="AB32" i="45"/>
  <c r="AH52" i="45"/>
  <c r="P22" i="45"/>
  <c r="AH22" i="45"/>
  <c r="AM27" i="45"/>
  <c r="AL36" i="45"/>
  <c r="Z27" i="45"/>
  <c r="AG27" i="45"/>
  <c r="AF36" i="45"/>
  <c r="AL22" i="45"/>
  <c r="N32" i="45"/>
  <c r="T22" i="45"/>
  <c r="Z12" i="45"/>
  <c r="Z52" i="45"/>
  <c r="AF42" i="45"/>
  <c r="AL32" i="45"/>
  <c r="N42" i="45"/>
  <c r="T32" i="45"/>
  <c r="Z22" i="45"/>
  <c r="AF12" i="45"/>
  <c r="AL42" i="45"/>
  <c r="Z32" i="45"/>
  <c r="T12" i="45"/>
  <c r="T52" i="45"/>
  <c r="N12" i="45"/>
  <c r="N52" i="45"/>
  <c r="AF32" i="45"/>
  <c r="AF22" i="45"/>
  <c r="T42" i="45"/>
  <c r="AF52" i="45"/>
  <c r="AL12" i="45"/>
  <c r="AL52" i="45"/>
  <c r="N22" i="45"/>
  <c r="Z42" i="45"/>
  <c r="W14" i="45"/>
  <c r="W54" i="45"/>
  <c r="AC44" i="45"/>
  <c r="AI34" i="45"/>
  <c r="K44" i="45"/>
  <c r="Q34" i="45"/>
  <c r="W24" i="45"/>
  <c r="AC14" i="45"/>
  <c r="AC54" i="45"/>
  <c r="AI44" i="45"/>
  <c r="K14" i="45"/>
  <c r="K54" i="45"/>
  <c r="W34" i="45"/>
  <c r="K24" i="45"/>
  <c r="AI24" i="45"/>
  <c r="Q14" i="45"/>
  <c r="Q54" i="45"/>
  <c r="Q44" i="45"/>
  <c r="W44" i="45"/>
  <c r="AI54" i="45"/>
  <c r="Q24" i="45"/>
  <c r="AI14" i="45"/>
  <c r="K34" i="45"/>
  <c r="AC34" i="45"/>
  <c r="AC24" i="45"/>
  <c r="AG32" i="45"/>
  <c r="AM22" i="45"/>
  <c r="O32" i="45"/>
  <c r="U22" i="45"/>
  <c r="AA12" i="45"/>
  <c r="AA52" i="45"/>
  <c r="AG42" i="45"/>
  <c r="AM32" i="45"/>
  <c r="O42" i="45"/>
  <c r="U32" i="45"/>
  <c r="AG12" i="45"/>
  <c r="AG52" i="45"/>
  <c r="U42" i="45"/>
  <c r="O22" i="45"/>
  <c r="O12" i="45"/>
  <c r="AM42" i="45"/>
  <c r="O52" i="45"/>
  <c r="U12" i="45"/>
  <c r="U52" i="45"/>
  <c r="AM12" i="45"/>
  <c r="AA22" i="45"/>
  <c r="AM52" i="45"/>
  <c r="AA32" i="45"/>
  <c r="AA42" i="45"/>
  <c r="AG22" i="45"/>
  <c r="W31" i="45"/>
  <c r="AC21" i="45"/>
  <c r="AI11" i="45"/>
  <c r="AI51" i="45"/>
  <c r="K21" i="45"/>
  <c r="Q11" i="45"/>
  <c r="Q51" i="45"/>
  <c r="W41" i="45"/>
  <c r="AC31" i="45"/>
  <c r="AI21" i="45"/>
  <c r="K31" i="45"/>
  <c r="Q21" i="45"/>
  <c r="W11" i="45"/>
  <c r="W51" i="45"/>
  <c r="K41" i="45"/>
  <c r="AI41" i="45"/>
  <c r="AC11" i="45"/>
  <c r="AI31" i="45"/>
  <c r="W21" i="45"/>
  <c r="Q31" i="45"/>
  <c r="Q41" i="45"/>
  <c r="K51" i="45"/>
  <c r="K11" i="45"/>
  <c r="AC51" i="45"/>
  <c r="AC41" i="45"/>
  <c r="M15" i="45"/>
  <c r="M55" i="45"/>
  <c r="S45" i="45"/>
  <c r="Y35" i="45"/>
  <c r="AE25" i="45"/>
  <c r="AK15" i="45"/>
  <c r="AK55" i="45"/>
  <c r="M25" i="45"/>
  <c r="S15" i="45"/>
  <c r="S55" i="45"/>
  <c r="Y45" i="45"/>
  <c r="AE35" i="45"/>
  <c r="M35" i="45"/>
  <c r="AE45" i="45"/>
  <c r="Y25" i="45"/>
  <c r="AE15" i="45"/>
  <c r="M45" i="45"/>
  <c r="Y55" i="45"/>
  <c r="S25" i="45"/>
  <c r="S35" i="45"/>
  <c r="AE55" i="45"/>
  <c r="AK25" i="45"/>
  <c r="AK35" i="45"/>
  <c r="AK45" i="45"/>
  <c r="Y15" i="45"/>
  <c r="T27" i="45"/>
  <c r="X17" i="45"/>
  <c r="AA27" i="45"/>
  <c r="Z36" i="45"/>
  <c r="T6" i="45"/>
  <c r="U27" i="45"/>
  <c r="M11" i="45"/>
  <c r="M51" i="45"/>
  <c r="S41" i="45"/>
  <c r="Y31" i="45"/>
  <c r="AE21" i="45"/>
  <c r="AK11" i="45"/>
  <c r="AK51" i="45"/>
  <c r="M21" i="45"/>
  <c r="S11" i="45"/>
  <c r="S51" i="45"/>
  <c r="Y41" i="45"/>
  <c r="AE31" i="45"/>
  <c r="AK21" i="45"/>
  <c r="M31" i="45"/>
  <c r="AE41" i="45"/>
  <c r="Y21" i="45"/>
  <c r="S21" i="45"/>
  <c r="AE51" i="45"/>
  <c r="AE11" i="45"/>
  <c r="Y11" i="45"/>
  <c r="Y51" i="45"/>
  <c r="AK31" i="45"/>
  <c r="AK41" i="45"/>
  <c r="M41" i="45"/>
  <c r="S31" i="45"/>
  <c r="T36" i="45"/>
  <c r="AG28" i="45"/>
  <c r="AM18" i="45"/>
  <c r="O28" i="45"/>
  <c r="U18" i="45"/>
  <c r="AA8" i="45"/>
  <c r="AA48" i="45"/>
  <c r="AG38" i="45"/>
  <c r="AM28" i="45"/>
  <c r="O38" i="45"/>
  <c r="U28" i="45"/>
  <c r="AA18" i="45"/>
  <c r="AG8" i="45"/>
  <c r="AG48" i="45"/>
  <c r="U38" i="45"/>
  <c r="O18" i="45"/>
  <c r="U48" i="45"/>
  <c r="AG18" i="45"/>
  <c r="O48" i="45"/>
  <c r="O8" i="45"/>
  <c r="AA28" i="45"/>
  <c r="AA38" i="45"/>
  <c r="U8" i="45"/>
  <c r="AM38" i="45"/>
  <c r="AM48" i="45"/>
  <c r="AM8" i="45"/>
  <c r="AB19" i="45"/>
  <c r="AH9" i="45"/>
  <c r="AH49" i="45"/>
  <c r="J19" i="45"/>
  <c r="P9" i="45"/>
  <c r="P49" i="45"/>
  <c r="V39" i="45"/>
  <c r="AB29" i="45"/>
  <c r="AH19" i="45"/>
  <c r="J29" i="45"/>
  <c r="P19" i="45"/>
  <c r="V9" i="45"/>
  <c r="AB39" i="45"/>
  <c r="P29" i="45"/>
  <c r="J9" i="45"/>
  <c r="J49" i="45"/>
  <c r="V19" i="45"/>
  <c r="AB9" i="45"/>
  <c r="V29" i="45"/>
  <c r="J39" i="45"/>
  <c r="V49" i="45"/>
  <c r="AB49" i="45"/>
  <c r="P39" i="45"/>
  <c r="AH29" i="45"/>
  <c r="AH39" i="45"/>
  <c r="AL17" i="45"/>
  <c r="L17" i="45"/>
  <c r="O27" i="45"/>
  <c r="N36" i="45"/>
  <c r="AL20" i="45"/>
  <c r="N30" i="45"/>
  <c r="T20" i="45"/>
  <c r="Z10" i="45"/>
  <c r="Z50" i="45"/>
  <c r="AF40" i="45"/>
  <c r="AL30" i="45"/>
  <c r="N40" i="45"/>
  <c r="T30" i="45"/>
  <c r="Z20" i="45"/>
  <c r="AF10" i="45"/>
  <c r="AL40" i="45"/>
  <c r="Z30" i="45"/>
  <c r="T10" i="45"/>
  <c r="T50" i="45"/>
  <c r="N10" i="45"/>
  <c r="T40" i="45"/>
  <c r="AF50" i="45"/>
  <c r="AF20" i="45"/>
  <c r="Z40" i="45"/>
  <c r="N20" i="45"/>
  <c r="AL50" i="45"/>
  <c r="AL10" i="45"/>
  <c r="AF30" i="45"/>
  <c r="N50" i="45"/>
  <c r="R45" i="45"/>
  <c r="X35" i="45"/>
  <c r="AD25" i="45"/>
  <c r="AJ15" i="45"/>
  <c r="AJ55" i="45"/>
  <c r="L25" i="45"/>
  <c r="R15" i="45"/>
  <c r="R55" i="45"/>
  <c r="X45" i="45"/>
  <c r="AD35" i="45"/>
  <c r="AJ25" i="45"/>
  <c r="R25" i="45"/>
  <c r="AJ35" i="45"/>
  <c r="AD15" i="45"/>
  <c r="AD55" i="45"/>
  <c r="L45" i="45"/>
  <c r="L55" i="45"/>
  <c r="L35" i="45"/>
  <c r="X55" i="45"/>
  <c r="R35" i="45"/>
  <c r="AD45" i="45"/>
  <c r="X15" i="45"/>
  <c r="X25" i="45"/>
  <c r="AJ45" i="45"/>
  <c r="L15" i="45"/>
  <c r="AF17" i="45"/>
  <c r="AJ47" i="45"/>
  <c r="AJ7" i="45"/>
  <c r="AM17" i="45"/>
  <c r="AL26" i="45"/>
  <c r="AL24" i="45"/>
  <c r="N34" i="45"/>
  <c r="T24" i="45"/>
  <c r="Z14" i="45"/>
  <c r="Z54" i="45"/>
  <c r="AF44" i="45"/>
  <c r="AL34" i="45"/>
  <c r="N44" i="45"/>
  <c r="T34" i="45"/>
  <c r="Z24" i="45"/>
  <c r="AF14" i="45"/>
  <c r="AL44" i="45"/>
  <c r="Z34" i="45"/>
  <c r="T14" i="45"/>
  <c r="T54" i="45"/>
  <c r="AF24" i="45"/>
  <c r="AF34" i="45"/>
  <c r="N14" i="45"/>
  <c r="N54" i="45"/>
  <c r="AF54" i="45"/>
  <c r="Z44" i="45"/>
  <c r="T44" i="45"/>
  <c r="N24" i="45"/>
  <c r="AL14" i="45"/>
  <c r="AL54" i="45"/>
  <c r="AF26" i="45"/>
  <c r="R18" i="45"/>
  <c r="X8" i="45"/>
  <c r="X48" i="45"/>
  <c r="AD38" i="45"/>
  <c r="AJ28" i="45"/>
  <c r="L38" i="45"/>
  <c r="R28" i="45"/>
  <c r="X18" i="45"/>
  <c r="AD8" i="45"/>
  <c r="AD48" i="45"/>
  <c r="AJ38" i="45"/>
  <c r="L8" i="45"/>
  <c r="R38" i="45"/>
  <c r="AJ8" i="45"/>
  <c r="AJ48" i="45"/>
  <c r="AD28" i="45"/>
  <c r="L28" i="45"/>
  <c r="X38" i="45"/>
  <c r="R48" i="45"/>
  <c r="X28" i="45"/>
  <c r="R8" i="45"/>
  <c r="L18" i="45"/>
  <c r="AJ18" i="45"/>
  <c r="L48" i="45"/>
  <c r="AD18" i="45"/>
  <c r="M30" i="45"/>
  <c r="S20" i="45"/>
  <c r="Y10" i="45"/>
  <c r="Y50" i="45"/>
  <c r="AE40" i="45"/>
  <c r="AK30" i="45"/>
  <c r="M40" i="45"/>
  <c r="S30" i="45"/>
  <c r="Y20" i="45"/>
  <c r="AE10" i="45"/>
  <c r="AE50" i="45"/>
  <c r="M10" i="45"/>
  <c r="M50" i="45"/>
  <c r="AE20" i="45"/>
  <c r="Y40" i="45"/>
  <c r="S50" i="45"/>
  <c r="S40" i="45"/>
  <c r="S10" i="45"/>
  <c r="Y30" i="45"/>
  <c r="M20" i="45"/>
  <c r="AK50" i="45"/>
  <c r="AK40" i="45"/>
  <c r="AK10" i="45"/>
  <c r="AE30" i="45"/>
  <c r="AK20" i="45"/>
  <c r="T17" i="45"/>
  <c r="X47" i="45"/>
  <c r="X7" i="45"/>
  <c r="AA17" i="45"/>
  <c r="Z26" i="45"/>
  <c r="T46" i="45"/>
  <c r="N17" i="45"/>
  <c r="R47" i="45"/>
  <c r="R7" i="45"/>
  <c r="U17" i="45"/>
  <c r="T26" i="45"/>
  <c r="M13" i="45"/>
  <c r="M53" i="45"/>
  <c r="S43" i="45"/>
  <c r="Y33" i="45"/>
  <c r="AE23" i="45"/>
  <c r="AK13" i="45"/>
  <c r="AK53" i="45"/>
  <c r="M23" i="45"/>
  <c r="S13" i="45"/>
  <c r="S53" i="45"/>
  <c r="Y43" i="45"/>
  <c r="AE33" i="45"/>
  <c r="M33" i="45"/>
  <c r="AE43" i="45"/>
  <c r="Y23" i="45"/>
  <c r="Y53" i="45"/>
  <c r="S23" i="45"/>
  <c r="S33" i="45"/>
  <c r="AE53" i="45"/>
  <c r="AE13" i="45"/>
  <c r="AK33" i="45"/>
  <c r="AK43" i="45"/>
  <c r="AK23" i="45"/>
  <c r="Y13" i="45"/>
  <c r="M43" i="45"/>
  <c r="AB25" i="45"/>
  <c r="AH15" i="45"/>
  <c r="AH55" i="45"/>
  <c r="J25" i="45"/>
  <c r="P15" i="45"/>
  <c r="P55" i="45"/>
  <c r="V45" i="45"/>
  <c r="AB35" i="45"/>
  <c r="AH25" i="45"/>
  <c r="J35" i="45"/>
  <c r="P25" i="45"/>
  <c r="V15" i="45"/>
  <c r="AB45" i="45"/>
  <c r="P35" i="45"/>
  <c r="J15" i="45"/>
  <c r="J55" i="45"/>
  <c r="J45" i="45"/>
  <c r="AB15" i="45"/>
  <c r="P45" i="45"/>
  <c r="V55" i="45"/>
  <c r="AB55" i="45"/>
  <c r="V25" i="45"/>
  <c r="V35" i="45"/>
  <c r="AH35" i="45"/>
  <c r="AH45" i="45"/>
  <c r="M32" i="45"/>
  <c r="S22" i="45"/>
  <c r="Y12" i="45"/>
  <c r="Y52" i="45"/>
  <c r="AE42" i="45"/>
  <c r="AK32" i="45"/>
  <c r="M42" i="45"/>
  <c r="S32" i="45"/>
  <c r="Y22" i="45"/>
  <c r="AE12" i="45"/>
  <c r="AE52" i="45"/>
  <c r="M12" i="45"/>
  <c r="M52" i="45"/>
  <c r="AE22" i="45"/>
  <c r="Y42" i="45"/>
  <c r="AK22" i="45"/>
  <c r="S12" i="45"/>
  <c r="S42" i="45"/>
  <c r="S52" i="45"/>
  <c r="M22" i="45"/>
  <c r="AK12" i="45"/>
  <c r="Y32" i="45"/>
  <c r="AK42" i="45"/>
  <c r="AK52" i="45"/>
  <c r="AE32" i="45"/>
  <c r="W12" i="45"/>
  <c r="W52" i="45"/>
  <c r="AC42" i="45"/>
  <c r="AI32" i="45"/>
  <c r="K42" i="45"/>
  <c r="Q32" i="45"/>
  <c r="W22" i="45"/>
  <c r="AC12" i="45"/>
  <c r="AC52" i="45"/>
  <c r="AI42" i="45"/>
  <c r="K12" i="45"/>
  <c r="K52" i="45"/>
  <c r="W32" i="45"/>
  <c r="K22" i="45"/>
  <c r="AI22" i="45"/>
  <c r="AC22" i="45"/>
  <c r="Q12" i="45"/>
  <c r="Q52" i="45"/>
  <c r="Q42" i="45"/>
  <c r="K32" i="45"/>
  <c r="AC32" i="45"/>
  <c r="W42" i="45"/>
  <c r="AI12" i="45"/>
  <c r="AI52" i="45"/>
  <c r="Q22" i="45"/>
  <c r="AL47" i="45"/>
  <c r="AL7" i="45"/>
  <c r="L47" i="45"/>
  <c r="L7" i="45"/>
  <c r="O17" i="45"/>
  <c r="N26" i="45"/>
  <c r="AM47" i="45"/>
  <c r="AM7" i="45"/>
  <c r="AL16" i="45"/>
  <c r="M9" i="45"/>
  <c r="M49" i="45"/>
  <c r="S39" i="45"/>
  <c r="Y29" i="45"/>
  <c r="AE19" i="45"/>
  <c r="AK9" i="45"/>
  <c r="AK49" i="45"/>
  <c r="M19" i="45"/>
  <c r="S9" i="45"/>
  <c r="S49" i="45"/>
  <c r="Y39" i="45"/>
  <c r="AE29" i="45"/>
  <c r="AK19" i="45"/>
  <c r="M29" i="45"/>
  <c r="AE39" i="45"/>
  <c r="Y19" i="45"/>
  <c r="AE9" i="45"/>
  <c r="AK29" i="45"/>
  <c r="AK39" i="45"/>
  <c r="Y9" i="45"/>
  <c r="S29" i="45"/>
  <c r="M39" i="45"/>
  <c r="AE49" i="45"/>
  <c r="Y49" i="45"/>
  <c r="S19" i="45"/>
  <c r="AG47" i="45"/>
  <c r="AG7" i="45"/>
  <c r="AF16" i="45"/>
  <c r="AG11" i="45"/>
  <c r="AG51" i="45"/>
  <c r="AM41" i="45"/>
  <c r="O11" i="45"/>
  <c r="O51" i="45"/>
  <c r="U41" i="45"/>
  <c r="AA31" i="45"/>
  <c r="AG21" i="45"/>
  <c r="AM11" i="45"/>
  <c r="AM51" i="45"/>
  <c r="O21" i="45"/>
  <c r="U11" i="45"/>
  <c r="U51" i="45"/>
  <c r="AG31" i="45"/>
  <c r="U21" i="45"/>
  <c r="O41" i="45"/>
  <c r="U31" i="45"/>
  <c r="AA11" i="45"/>
  <c r="AA41" i="45"/>
  <c r="AG41" i="45"/>
  <c r="AA51" i="45"/>
  <c r="O31" i="45"/>
  <c r="AA21" i="45"/>
  <c r="AM21" i="45"/>
  <c r="AM31" i="45"/>
  <c r="W35" i="45"/>
  <c r="AC25" i="45"/>
  <c r="AI15" i="45"/>
  <c r="AI55" i="45"/>
  <c r="K25" i="45"/>
  <c r="Q15" i="45"/>
  <c r="Q55" i="45"/>
  <c r="W45" i="45"/>
  <c r="AC35" i="45"/>
  <c r="AI25" i="45"/>
  <c r="K35" i="45"/>
  <c r="W15" i="45"/>
  <c r="W55" i="45"/>
  <c r="K45" i="45"/>
  <c r="AI45" i="45"/>
  <c r="K55" i="45"/>
  <c r="AC15" i="45"/>
  <c r="Q35" i="45"/>
  <c r="Q45" i="45"/>
  <c r="Q25" i="45"/>
  <c r="AC45" i="45"/>
  <c r="AC55" i="45"/>
  <c r="W25" i="45"/>
  <c r="AI35" i="45"/>
  <c r="K15" i="45"/>
  <c r="AA47" i="45"/>
  <c r="AA7" i="45"/>
  <c r="Z16" i="45"/>
  <c r="M28" i="45"/>
  <c r="S18" i="45"/>
  <c r="Y8" i="45"/>
  <c r="Y48" i="45"/>
  <c r="AE38" i="45"/>
  <c r="AK28" i="45"/>
  <c r="M38" i="45"/>
  <c r="S28" i="45"/>
  <c r="Y18" i="45"/>
  <c r="AE8" i="45"/>
  <c r="AE48" i="45"/>
  <c r="M8" i="45"/>
  <c r="M48" i="45"/>
  <c r="AE18" i="45"/>
  <c r="Y38" i="45"/>
  <c r="Y28" i="45"/>
  <c r="S8" i="45"/>
  <c r="AK48" i="45"/>
  <c r="AK38" i="45"/>
  <c r="M18" i="45"/>
  <c r="AE28" i="45"/>
  <c r="AK8" i="45"/>
  <c r="AK18" i="45"/>
  <c r="S48" i="45"/>
  <c r="S38" i="45"/>
  <c r="AB21" i="45"/>
  <c r="AH11" i="45"/>
  <c r="AH51" i="45"/>
  <c r="J21" i="45"/>
  <c r="P11" i="45"/>
  <c r="P51" i="45"/>
  <c r="V41" i="45"/>
  <c r="AB31" i="45"/>
  <c r="AH21" i="45"/>
  <c r="J31" i="45"/>
  <c r="P21" i="45"/>
  <c r="V11" i="45"/>
  <c r="AB41" i="45"/>
  <c r="P31" i="45"/>
  <c r="J11" i="45"/>
  <c r="J51" i="45"/>
  <c r="V31" i="45"/>
  <c r="AH41" i="45"/>
  <c r="AB51" i="45"/>
  <c r="V21" i="45"/>
  <c r="AH31" i="45"/>
  <c r="V51" i="45"/>
  <c r="P41" i="45"/>
  <c r="J41" i="45"/>
  <c r="AB11" i="45"/>
  <c r="N7" i="45"/>
  <c r="U47" i="45"/>
  <c r="U7" i="45"/>
  <c r="T16" i="45"/>
  <c r="AB38" i="45"/>
  <c r="AH28" i="45"/>
  <c r="J38" i="45"/>
  <c r="P28" i="45"/>
  <c r="V18" i="45"/>
  <c r="AB8" i="45"/>
  <c r="AB48" i="45"/>
  <c r="AH38" i="45"/>
  <c r="J8" i="45"/>
  <c r="J48" i="45"/>
  <c r="P38" i="45"/>
  <c r="AB18" i="45"/>
  <c r="P8" i="45"/>
  <c r="P48" i="45"/>
  <c r="J28" i="45"/>
  <c r="V38" i="45"/>
  <c r="V48" i="45"/>
  <c r="V28" i="45"/>
  <c r="AH48" i="45"/>
  <c r="AH18" i="45"/>
  <c r="J18" i="45"/>
  <c r="AB28" i="45"/>
  <c r="V8" i="45"/>
  <c r="AH8" i="45"/>
  <c r="P18" i="45"/>
  <c r="AL43" i="45"/>
  <c r="N13" i="45"/>
  <c r="N53" i="45"/>
  <c r="T43" i="45"/>
  <c r="Z33" i="45"/>
  <c r="AF23" i="45"/>
  <c r="AL13" i="45"/>
  <c r="AL53" i="45"/>
  <c r="N23" i="45"/>
  <c r="T13" i="45"/>
  <c r="T53" i="45"/>
  <c r="Z43" i="45"/>
  <c r="AL23" i="45"/>
  <c r="Z13" i="45"/>
  <c r="Z53" i="45"/>
  <c r="T33" i="45"/>
  <c r="T23" i="45"/>
  <c r="AF13" i="45"/>
  <c r="AF43" i="45"/>
  <c r="AF53" i="45"/>
  <c r="AF33" i="45"/>
  <c r="Z23" i="45"/>
  <c r="AL33" i="45"/>
  <c r="N33" i="45"/>
  <c r="N43" i="45"/>
  <c r="M34" i="45"/>
  <c r="S24" i="45"/>
  <c r="Y14" i="45"/>
  <c r="Y54" i="45"/>
  <c r="AE44" i="45"/>
  <c r="AK34" i="45"/>
  <c r="M44" i="45"/>
  <c r="S34" i="45"/>
  <c r="Y24" i="45"/>
  <c r="AE14" i="45"/>
  <c r="AE54" i="45"/>
  <c r="M14" i="45"/>
  <c r="M54" i="45"/>
  <c r="AE24" i="45"/>
  <c r="Y44" i="45"/>
  <c r="AE34" i="45"/>
  <c r="AK44" i="45"/>
  <c r="AK54" i="45"/>
  <c r="AK24" i="45"/>
  <c r="S14" i="45"/>
  <c r="M24" i="45"/>
  <c r="Y34" i="45"/>
  <c r="S44" i="45"/>
  <c r="S54" i="45"/>
  <c r="AK14" i="45"/>
  <c r="N47" i="45"/>
  <c r="AL39" i="45"/>
  <c r="N9" i="45"/>
  <c r="N49" i="45"/>
  <c r="T39" i="45"/>
  <c r="Z29" i="45"/>
  <c r="AF19" i="45"/>
  <c r="AL9" i="45"/>
  <c r="AL49" i="45"/>
  <c r="N19" i="45"/>
  <c r="T9" i="45"/>
  <c r="T49" i="45"/>
  <c r="Z39" i="45"/>
  <c r="AL19" i="45"/>
  <c r="Z9" i="45"/>
  <c r="Z49" i="45"/>
  <c r="T29" i="45"/>
  <c r="T19" i="45"/>
  <c r="AF9" i="45"/>
  <c r="Z19" i="45"/>
  <c r="AL29" i="45"/>
  <c r="AF49" i="45"/>
  <c r="AF39" i="45"/>
  <c r="N29" i="45"/>
  <c r="N39" i="45"/>
  <c r="AF29" i="45"/>
  <c r="AL41" i="45"/>
  <c r="N11" i="45"/>
  <c r="N51" i="45"/>
  <c r="T41" i="45"/>
  <c r="Z31" i="45"/>
  <c r="AF21" i="45"/>
  <c r="AL11" i="45"/>
  <c r="AL51" i="45"/>
  <c r="N21" i="45"/>
  <c r="T11" i="45"/>
  <c r="T51" i="45"/>
  <c r="Z41" i="45"/>
  <c r="AL21" i="45"/>
  <c r="Z11" i="45"/>
  <c r="Z51" i="45"/>
  <c r="T31" i="45"/>
  <c r="T21" i="45"/>
  <c r="AF41" i="45"/>
  <c r="AF51" i="45"/>
  <c r="AF11" i="45"/>
  <c r="AF31" i="45"/>
  <c r="Z21" i="45"/>
  <c r="AL31" i="45"/>
  <c r="N41" i="45"/>
  <c r="N31" i="45"/>
  <c r="AL37" i="45"/>
  <c r="L37" i="45"/>
  <c r="O47" i="45"/>
  <c r="O7" i="45"/>
  <c r="N16" i="45"/>
  <c r="W10" i="45"/>
  <c r="W50" i="45"/>
  <c r="AC40" i="45"/>
  <c r="AI30" i="45"/>
  <c r="K40" i="45"/>
  <c r="Q30" i="45"/>
  <c r="W20" i="45"/>
  <c r="AC10" i="45"/>
  <c r="AC50" i="45"/>
  <c r="AI40" i="45"/>
  <c r="K10" i="45"/>
  <c r="K50" i="45"/>
  <c r="W30" i="45"/>
  <c r="K20" i="45"/>
  <c r="AI20" i="45"/>
  <c r="Q50" i="45"/>
  <c r="Q10" i="45"/>
  <c r="K30" i="45"/>
  <c r="Q40" i="45"/>
  <c r="W40" i="45"/>
  <c r="AI50" i="45"/>
  <c r="AI10" i="45"/>
  <c r="AC30" i="45"/>
  <c r="Q20" i="45"/>
  <c r="AC20" i="45"/>
  <c r="R39" i="45"/>
  <c r="X29" i="45"/>
  <c r="AD19" i="45"/>
  <c r="AJ9" i="45"/>
  <c r="AJ49" i="45"/>
  <c r="L19" i="45"/>
  <c r="R9" i="45"/>
  <c r="R49" i="45"/>
  <c r="X39" i="45"/>
  <c r="AD29" i="45"/>
  <c r="AJ19" i="45"/>
  <c r="R19" i="45"/>
  <c r="AJ29" i="45"/>
  <c r="AD9" i="45"/>
  <c r="AD49" i="45"/>
  <c r="AJ39" i="45"/>
  <c r="X19" i="45"/>
  <c r="X9" i="45"/>
  <c r="L39" i="45"/>
  <c r="L49" i="45"/>
  <c r="L29" i="45"/>
  <c r="L9" i="45"/>
  <c r="R29" i="45"/>
  <c r="AD39" i="45"/>
  <c r="X49" i="45"/>
  <c r="R43" i="45"/>
  <c r="X33" i="45"/>
  <c r="AD23" i="45"/>
  <c r="AJ13" i="45"/>
  <c r="AJ53" i="45"/>
  <c r="L23" i="45"/>
  <c r="R13" i="45"/>
  <c r="R53" i="45"/>
  <c r="X43" i="45"/>
  <c r="AD33" i="45"/>
  <c r="AJ23" i="45"/>
  <c r="R23" i="45"/>
  <c r="AJ33" i="45"/>
  <c r="AD13" i="45"/>
  <c r="AD53" i="45"/>
  <c r="AD43" i="45"/>
  <c r="R33" i="45"/>
  <c r="L13" i="45"/>
  <c r="X13" i="45"/>
  <c r="L53" i="45"/>
  <c r="X23" i="45"/>
  <c r="AJ43" i="45"/>
  <c r="L43" i="45"/>
  <c r="X53" i="45"/>
  <c r="L33" i="45"/>
  <c r="AC27" i="45"/>
  <c r="AI17" i="45"/>
  <c r="AI27" i="45"/>
  <c r="K37" i="45"/>
  <c r="W27" i="45"/>
  <c r="Q37" i="45"/>
  <c r="W37" i="45"/>
  <c r="AC37" i="45"/>
  <c r="AI37" i="45"/>
  <c r="K7" i="45"/>
  <c r="K47" i="45"/>
  <c r="Q7" i="45"/>
  <c r="Q47" i="45"/>
  <c r="W7" i="45"/>
  <c r="W47" i="45"/>
  <c r="AC7" i="45"/>
  <c r="AC47" i="45"/>
  <c r="AI47" i="45"/>
  <c r="AI7" i="45"/>
  <c r="AC17" i="45"/>
  <c r="K17" i="45"/>
  <c r="W17" i="45"/>
  <c r="Q27" i="45"/>
  <c r="Q17" i="45"/>
  <c r="K27" i="45"/>
  <c r="AF37" i="45"/>
  <c r="AJ27" i="45"/>
  <c r="AM37" i="45"/>
  <c r="AL46" i="45"/>
  <c r="AL6" i="45"/>
  <c r="W33" i="45"/>
  <c r="AC23" i="45"/>
  <c r="AI13" i="45"/>
  <c r="AI53" i="45"/>
  <c r="K23" i="45"/>
  <c r="Q13" i="45"/>
  <c r="Q53" i="45"/>
  <c r="W43" i="45"/>
  <c r="AC33" i="45"/>
  <c r="AI23" i="45"/>
  <c r="K33" i="45"/>
  <c r="W13" i="45"/>
  <c r="W53" i="45"/>
  <c r="K43" i="45"/>
  <c r="AI43" i="45"/>
  <c r="AC13" i="45"/>
  <c r="Q33" i="45"/>
  <c r="Q43" i="45"/>
  <c r="AC53" i="45"/>
  <c r="Q23" i="45"/>
  <c r="AC43" i="45"/>
  <c r="K13" i="45"/>
  <c r="W23" i="45"/>
  <c r="AI33" i="45"/>
  <c r="K53" i="45"/>
  <c r="Z37" i="45"/>
  <c r="AD27" i="45"/>
  <c r="AG37" i="45"/>
  <c r="AF46" i="45"/>
  <c r="M6" i="45"/>
  <c r="S6" i="45"/>
  <c r="Y6" i="45"/>
  <c r="AE6" i="45"/>
  <c r="AK6" i="45"/>
  <c r="M16" i="45"/>
  <c r="S16" i="45"/>
  <c r="Y16" i="45"/>
  <c r="AE16" i="45"/>
  <c r="AK16" i="45"/>
  <c r="M26" i="45"/>
  <c r="S26" i="45"/>
  <c r="Y26" i="45"/>
  <c r="AE26" i="45"/>
  <c r="AK26" i="45"/>
  <c r="M36" i="45"/>
  <c r="S36" i="45"/>
  <c r="Y36" i="45"/>
  <c r="AE36" i="45"/>
  <c r="AK36" i="45"/>
  <c r="M46" i="45"/>
  <c r="S46" i="45"/>
  <c r="Y46" i="45"/>
  <c r="AE46" i="45"/>
  <c r="AK46" i="45"/>
  <c r="L6" i="45"/>
  <c r="R6" i="45"/>
  <c r="X6" i="45"/>
  <c r="AD6" i="45"/>
  <c r="AJ6" i="45"/>
  <c r="L16" i="45"/>
  <c r="R16" i="45"/>
  <c r="X16" i="45"/>
  <c r="AD16" i="45"/>
  <c r="AJ16" i="45"/>
  <c r="L26" i="45"/>
  <c r="R26" i="45"/>
  <c r="X26" i="45"/>
  <c r="AD26" i="45"/>
  <c r="AJ26" i="45"/>
  <c r="L36" i="45"/>
  <c r="R36" i="45"/>
  <c r="X36" i="45"/>
  <c r="AD36" i="45"/>
  <c r="AJ36" i="45"/>
  <c r="L46" i="45"/>
  <c r="R46" i="45"/>
  <c r="X46" i="45"/>
  <c r="AD46" i="45"/>
  <c r="AJ46" i="45"/>
  <c r="I63" i="39"/>
  <c r="D30" i="39"/>
  <c r="E30" i="39"/>
  <c r="H21" i="39"/>
  <c r="H20" i="39"/>
  <c r="W42" i="37"/>
  <c r="V42" i="37"/>
  <c r="W41" i="37"/>
  <c r="V41" i="37"/>
  <c r="W40" i="37"/>
  <c r="V40" i="37"/>
  <c r="W39" i="37"/>
  <c r="V39" i="37"/>
  <c r="W38" i="37"/>
  <c r="V38" i="37"/>
  <c r="W37" i="37"/>
  <c r="V37" i="37"/>
  <c r="W36" i="37"/>
  <c r="V36" i="37"/>
  <c r="W35" i="37"/>
  <c r="V35" i="37"/>
  <c r="W34" i="37"/>
  <c r="V34" i="37"/>
  <c r="W33" i="37"/>
  <c r="V33" i="37"/>
  <c r="W32" i="37"/>
  <c r="V32" i="37"/>
  <c r="W31" i="37"/>
  <c r="V31" i="37"/>
  <c r="W30" i="37"/>
  <c r="V30" i="37"/>
  <c r="V29" i="37"/>
  <c r="W29" i="37" s="1"/>
  <c r="V28" i="37"/>
  <c r="W28" i="37" s="1"/>
  <c r="V27" i="37"/>
  <c r="W27" i="37"/>
  <c r="V26" i="37"/>
  <c r="W26" i="37"/>
  <c r="T69" i="33"/>
  <c r="Q69" i="33"/>
  <c r="T68" i="33"/>
  <c r="Q68" i="33"/>
  <c r="T67" i="33"/>
  <c r="Q67" i="33"/>
  <c r="T66" i="33"/>
  <c r="Q66" i="33"/>
  <c r="T65" i="33"/>
  <c r="Q65" i="33"/>
  <c r="T64" i="33"/>
  <c r="Q64" i="33"/>
  <c r="H64" i="33"/>
  <c r="AB63" i="33"/>
  <c r="AA63" i="33"/>
  <c r="T63" i="33"/>
  <c r="Q63" i="33"/>
  <c r="AB62" i="33"/>
  <c r="AA62" i="33"/>
  <c r="T62" i="33"/>
  <c r="Q62" i="33"/>
  <c r="X63" i="33"/>
  <c r="AB61" i="33"/>
  <c r="AA61" i="33"/>
  <c r="T61" i="33"/>
  <c r="Q61" i="33"/>
  <c r="X62" i="33"/>
  <c r="AB60" i="33"/>
  <c r="AA60" i="33"/>
  <c r="T60" i="33"/>
  <c r="Q60" i="33"/>
  <c r="X61" i="33"/>
  <c r="AB59" i="33"/>
  <c r="AA59" i="33"/>
  <c r="T59" i="33"/>
  <c r="Q59" i="33"/>
  <c r="X60" i="33"/>
  <c r="AB58" i="33"/>
  <c r="AA58" i="33"/>
  <c r="T58" i="33"/>
  <c r="Q58" i="33"/>
  <c r="X59" i="33"/>
  <c r="H58" i="33"/>
  <c r="T57" i="33"/>
  <c r="Q57" i="33"/>
  <c r="T56" i="33"/>
  <c r="Q56" i="33"/>
  <c r="T55" i="33"/>
  <c r="Q55" i="33"/>
  <c r="T54" i="33"/>
  <c r="Q54" i="33"/>
  <c r="T53" i="33"/>
  <c r="Q53" i="33"/>
  <c r="T52" i="33"/>
  <c r="Q52" i="33"/>
  <c r="H52" i="33"/>
  <c r="I52" i="33"/>
  <c r="X51" i="33"/>
  <c r="T51" i="33"/>
  <c r="Q51" i="33"/>
  <c r="X50" i="33"/>
  <c r="T50" i="33"/>
  <c r="Q50" i="33"/>
  <c r="AB51" i="33"/>
  <c r="AA51" i="33"/>
  <c r="X49" i="33"/>
  <c r="T49" i="33"/>
  <c r="Q49" i="33"/>
  <c r="AB50" i="33"/>
  <c r="AA50" i="33"/>
  <c r="X48" i="33"/>
  <c r="T48" i="33"/>
  <c r="Q48" i="33"/>
  <c r="AB49" i="33"/>
  <c r="AA49" i="33"/>
  <c r="X47" i="33"/>
  <c r="T47" i="33"/>
  <c r="Q47" i="33"/>
  <c r="AB48" i="33"/>
  <c r="AA48" i="33"/>
  <c r="X46" i="33"/>
  <c r="T46" i="33"/>
  <c r="Q46" i="33"/>
  <c r="AB47" i="33"/>
  <c r="AA47" i="33"/>
  <c r="H46" i="33"/>
  <c r="T45" i="33"/>
  <c r="Q45" i="33"/>
  <c r="T44" i="33"/>
  <c r="Q44" i="33"/>
  <c r="T43" i="33"/>
  <c r="Q43" i="33"/>
  <c r="T42" i="33"/>
  <c r="Q42" i="33"/>
  <c r="T41" i="33"/>
  <c r="Q41" i="33"/>
  <c r="T40" i="33"/>
  <c r="Q40" i="33"/>
  <c r="I40" i="33"/>
  <c r="H40" i="33"/>
  <c r="X39" i="33"/>
  <c r="Z39" i="33"/>
  <c r="T39" i="33"/>
  <c r="Q39" i="33"/>
  <c r="X38" i="33"/>
  <c r="Z38" i="33"/>
  <c r="T38" i="33"/>
  <c r="Q38" i="33"/>
  <c r="AB39" i="33"/>
  <c r="AA39" i="33"/>
  <c r="T37" i="33"/>
  <c r="Q37" i="33"/>
  <c r="AB38" i="33"/>
  <c r="AA38" i="33"/>
  <c r="T36" i="33"/>
  <c r="Q36" i="33"/>
  <c r="X37" i="33"/>
  <c r="T35" i="33"/>
  <c r="Q35" i="33"/>
  <c r="X36" i="33"/>
  <c r="Z36" i="33"/>
  <c r="T34" i="33"/>
  <c r="Q34" i="33"/>
  <c r="AB34" i="33"/>
  <c r="AA34" i="33"/>
  <c r="H34" i="33"/>
  <c r="I34" i="33"/>
  <c r="T33" i="33"/>
  <c r="Q33" i="33"/>
  <c r="T32" i="33"/>
  <c r="Q32" i="33"/>
  <c r="T31" i="33"/>
  <c r="Q31" i="33"/>
  <c r="T30" i="33"/>
  <c r="Q30" i="33"/>
  <c r="T29" i="33"/>
  <c r="Q29" i="33"/>
  <c r="T28" i="33"/>
  <c r="Q28" i="33"/>
  <c r="I28" i="33"/>
  <c r="H28" i="33"/>
  <c r="AB27" i="33"/>
  <c r="AA27" i="33"/>
  <c r="Y27" i="33"/>
  <c r="X27" i="33"/>
  <c r="Z27" i="33"/>
  <c r="T27" i="33"/>
  <c r="Q27" i="33"/>
  <c r="AB26" i="33"/>
  <c r="AA26" i="33"/>
  <c r="X26" i="33"/>
  <c r="Z26" i="33"/>
  <c r="T26" i="33"/>
  <c r="Q26" i="33"/>
  <c r="AB25" i="33"/>
  <c r="AA25" i="33"/>
  <c r="T25" i="33"/>
  <c r="Q25" i="33"/>
  <c r="AB24" i="33"/>
  <c r="AA24" i="33"/>
  <c r="T24" i="33"/>
  <c r="Q24" i="33"/>
  <c r="X25" i="33"/>
  <c r="Z25" i="33"/>
  <c r="AB23" i="33"/>
  <c r="AA23" i="33"/>
  <c r="Y23" i="33"/>
  <c r="X23" i="33"/>
  <c r="Z23" i="33"/>
  <c r="T23" i="33"/>
  <c r="Q23" i="33"/>
  <c r="X24" i="33"/>
  <c r="AB22" i="33"/>
  <c r="AA22" i="33"/>
  <c r="X22" i="33"/>
  <c r="Z22" i="33"/>
  <c r="T22" i="33"/>
  <c r="Q22" i="33"/>
  <c r="H22" i="33"/>
  <c r="I22" i="33"/>
  <c r="T21" i="33"/>
  <c r="Q21" i="33"/>
  <c r="T20" i="33"/>
  <c r="Q20" i="33"/>
  <c r="X19" i="33"/>
  <c r="Z19" i="33"/>
  <c r="T19" i="33"/>
  <c r="Q19" i="33"/>
  <c r="X18" i="33"/>
  <c r="Z18" i="33"/>
  <c r="T18" i="33"/>
  <c r="Q18" i="33"/>
  <c r="AB19" i="33"/>
  <c r="AA19" i="33"/>
  <c r="X17" i="33"/>
  <c r="Z17" i="33"/>
  <c r="T17" i="33"/>
  <c r="Q17" i="33"/>
  <c r="AB18" i="33"/>
  <c r="AA18" i="33"/>
  <c r="X16" i="33"/>
  <c r="Z16" i="33"/>
  <c r="T16" i="33"/>
  <c r="Q16" i="33"/>
  <c r="AB17" i="33"/>
  <c r="AA17" i="33"/>
  <c r="H16" i="33"/>
  <c r="T15" i="33"/>
  <c r="Q15" i="33"/>
  <c r="T14" i="33"/>
  <c r="Q14" i="33"/>
  <c r="AB15" i="33"/>
  <c r="AA15" i="33"/>
  <c r="T13" i="33"/>
  <c r="Q13" i="33"/>
  <c r="T12" i="33"/>
  <c r="Q12" i="33"/>
  <c r="AB13" i="33"/>
  <c r="AA13" i="33"/>
  <c r="T11" i="33"/>
  <c r="Q11" i="33"/>
  <c r="T10" i="33"/>
  <c r="Q10" i="33"/>
  <c r="H10" i="33"/>
  <c r="I10" i="33"/>
  <c r="Z24" i="33"/>
  <c r="Y24" i="33"/>
  <c r="AC24" i="33"/>
  <c r="Z37" i="33"/>
  <c r="Y37" i="33"/>
  <c r="AB16" i="33"/>
  <c r="AA16" i="33"/>
  <c r="AB37" i="33"/>
  <c r="AA37" i="33"/>
  <c r="Y39" i="33"/>
  <c r="AC39" i="33"/>
  <c r="AB46" i="33"/>
  <c r="AA46" i="33"/>
  <c r="AB35" i="33"/>
  <c r="AA35" i="33"/>
  <c r="AB36" i="33"/>
  <c r="AA36" i="33"/>
  <c r="AC23" i="33"/>
  <c r="AC27" i="33"/>
  <c r="X34" i="33"/>
  <c r="Z34" i="33"/>
  <c r="X35" i="33"/>
  <c r="AB14" i="33"/>
  <c r="AA14" i="33"/>
  <c r="X58" i="33"/>
  <c r="Z58" i="33"/>
  <c r="AB53" i="33"/>
  <c r="AA53" i="33"/>
  <c r="X53" i="33"/>
  <c r="AB52" i="33"/>
  <c r="AA52" i="33"/>
  <c r="X52" i="33"/>
  <c r="I16" i="33"/>
  <c r="Y16" i="33"/>
  <c r="AC16" i="33"/>
  <c r="Y17" i="33"/>
  <c r="AC17" i="33"/>
  <c r="Y18" i="33"/>
  <c r="AC18" i="33"/>
  <c r="Y19" i="33"/>
  <c r="AC19" i="33"/>
  <c r="AB21" i="33"/>
  <c r="AA21" i="33"/>
  <c r="X21" i="33"/>
  <c r="Y22" i="33"/>
  <c r="AC22" i="33"/>
  <c r="Y26" i="33"/>
  <c r="AC26" i="33"/>
  <c r="AB29" i="33"/>
  <c r="AA29" i="33"/>
  <c r="X29" i="33"/>
  <c r="AB28" i="33"/>
  <c r="AA28" i="33"/>
  <c r="X28" i="33"/>
  <c r="AB31" i="33"/>
  <c r="AA31" i="33"/>
  <c r="X31" i="33"/>
  <c r="AB33" i="33"/>
  <c r="AA33" i="33"/>
  <c r="X33" i="33"/>
  <c r="Y36" i="33"/>
  <c r="AC36" i="33"/>
  <c r="Y38" i="33"/>
  <c r="AC38" i="33"/>
  <c r="AB45" i="33"/>
  <c r="AA45" i="33"/>
  <c r="X45" i="33"/>
  <c r="AB56" i="33"/>
  <c r="AA56" i="33"/>
  <c r="X56" i="33"/>
  <c r="AB66" i="33"/>
  <c r="AA66" i="33"/>
  <c r="X66" i="33"/>
  <c r="AB67" i="33"/>
  <c r="AA67" i="33"/>
  <c r="X67" i="33"/>
  <c r="X10" i="33"/>
  <c r="X13" i="33"/>
  <c r="X14" i="33"/>
  <c r="X15" i="33"/>
  <c r="AB20" i="33"/>
  <c r="AA20" i="33"/>
  <c r="X20" i="33"/>
  <c r="Y25" i="33"/>
  <c r="AC25" i="33"/>
  <c r="AB41" i="33"/>
  <c r="AA41" i="33"/>
  <c r="X41" i="33"/>
  <c r="AB40" i="33"/>
  <c r="AA40" i="33"/>
  <c r="X40" i="33"/>
  <c r="AB42" i="33"/>
  <c r="AA42" i="33"/>
  <c r="X42" i="33"/>
  <c r="AB43" i="33"/>
  <c r="AA43" i="33"/>
  <c r="X43" i="33"/>
  <c r="AB44" i="33"/>
  <c r="AA44" i="33"/>
  <c r="X44" i="33"/>
  <c r="AB55" i="33"/>
  <c r="AA55" i="33"/>
  <c r="X55" i="33"/>
  <c r="I58" i="33"/>
  <c r="Z59" i="33"/>
  <c r="Y59" i="33"/>
  <c r="AC59" i="33"/>
  <c r="Z60" i="33"/>
  <c r="Y60" i="33"/>
  <c r="AC60" i="33"/>
  <c r="Z61" i="33"/>
  <c r="Y61" i="33"/>
  <c r="AC61" i="33"/>
  <c r="Z62" i="33"/>
  <c r="Y62" i="33"/>
  <c r="AC62" i="33"/>
  <c r="Z63" i="33"/>
  <c r="Y63" i="33"/>
  <c r="AC63" i="33"/>
  <c r="AB65" i="33"/>
  <c r="AA65" i="33"/>
  <c r="X65" i="33"/>
  <c r="AB64" i="33"/>
  <c r="AA64" i="33"/>
  <c r="X64" i="33"/>
  <c r="AB69" i="33"/>
  <c r="AA69" i="33"/>
  <c r="X69" i="33"/>
  <c r="AB57" i="33"/>
  <c r="AA57" i="33"/>
  <c r="X57" i="33"/>
  <c r="AB30" i="33"/>
  <c r="AA30" i="33"/>
  <c r="X30" i="33"/>
  <c r="AB32" i="33"/>
  <c r="AA32" i="33"/>
  <c r="X32" i="33"/>
  <c r="I46" i="33"/>
  <c r="Z46" i="33"/>
  <c r="Y46" i="33"/>
  <c r="AC46" i="33"/>
  <c r="Z47" i="33"/>
  <c r="Y47" i="33"/>
  <c r="AC47" i="33"/>
  <c r="Z48" i="33"/>
  <c r="Y48" i="33"/>
  <c r="AC48" i="33"/>
  <c r="Z49" i="33"/>
  <c r="Y49" i="33"/>
  <c r="AC49" i="33"/>
  <c r="Z50" i="33"/>
  <c r="Y50" i="33"/>
  <c r="AC50" i="33"/>
  <c r="Z51" i="33"/>
  <c r="Y51" i="33"/>
  <c r="AC51" i="33"/>
  <c r="AB54" i="33"/>
  <c r="AA54" i="33"/>
  <c r="X54" i="33"/>
  <c r="AB68" i="33"/>
  <c r="AA68" i="33"/>
  <c r="X68" i="33"/>
  <c r="I64" i="33"/>
  <c r="AC37" i="33"/>
  <c r="Y34" i="33"/>
  <c r="AC34" i="33"/>
  <c r="Y58" i="33"/>
  <c r="AC58" i="33"/>
  <c r="Z35" i="33"/>
  <c r="Y35" i="33"/>
  <c r="AC35" i="33"/>
  <c r="Y68" i="33"/>
  <c r="AC68" i="33"/>
  <c r="Z68" i="33"/>
  <c r="Y30" i="33"/>
  <c r="AC30" i="33"/>
  <c r="Z30" i="33"/>
  <c r="Y69" i="33"/>
  <c r="AC69" i="33"/>
  <c r="Z69" i="33"/>
  <c r="Y65" i="33"/>
  <c r="AC65" i="33"/>
  <c r="Z65" i="33"/>
  <c r="Y55" i="33"/>
  <c r="AC55" i="33"/>
  <c r="Z55" i="33"/>
  <c r="Y43" i="33"/>
  <c r="AC43" i="33"/>
  <c r="Z43" i="33"/>
  <c r="Y40" i="33"/>
  <c r="AC40" i="33"/>
  <c r="Z40" i="33"/>
  <c r="Y14" i="33"/>
  <c r="AC14" i="33"/>
  <c r="Z14" i="33"/>
  <c r="Y66" i="33"/>
  <c r="AC66" i="33"/>
  <c r="Z66" i="33"/>
  <c r="Y45" i="33"/>
  <c r="AC45" i="33"/>
  <c r="Z45" i="33"/>
  <c r="Z31" i="33"/>
  <c r="Y31" i="33"/>
  <c r="AC31" i="33"/>
  <c r="Z29" i="33"/>
  <c r="Y29" i="33"/>
  <c r="AC29" i="33"/>
  <c r="Y20" i="33"/>
  <c r="AC20" i="33"/>
  <c r="Z20" i="33"/>
  <c r="Y13" i="33"/>
  <c r="AC13" i="33"/>
  <c r="Z13" i="33"/>
  <c r="Y10" i="33"/>
  <c r="Z10" i="33"/>
  <c r="Z21" i="33"/>
  <c r="Y21" i="33"/>
  <c r="AC21" i="33"/>
  <c r="Y52" i="33"/>
  <c r="AC52" i="33"/>
  <c r="Z52" i="33"/>
  <c r="Y54" i="33"/>
  <c r="AC54" i="33"/>
  <c r="Z54" i="33"/>
  <c r="Y32" i="33"/>
  <c r="AC32" i="33"/>
  <c r="Z32" i="33"/>
  <c r="Y57" i="33"/>
  <c r="AC57" i="33"/>
  <c r="Z57" i="33"/>
  <c r="Y64" i="33"/>
  <c r="AC64" i="33"/>
  <c r="Z64" i="33"/>
  <c r="Y44" i="33"/>
  <c r="AC44" i="33"/>
  <c r="Z44" i="33"/>
  <c r="Y42" i="33"/>
  <c r="AC42" i="33"/>
  <c r="Z42" i="33"/>
  <c r="Y41" i="33"/>
  <c r="AC41" i="33"/>
  <c r="Z41" i="33"/>
  <c r="Y67" i="33"/>
  <c r="AC67" i="33"/>
  <c r="Z67" i="33"/>
  <c r="Y56" i="33"/>
  <c r="AC56" i="33"/>
  <c r="Z56" i="33"/>
  <c r="Z33" i="33"/>
  <c r="Y33" i="33"/>
  <c r="AC33" i="33"/>
  <c r="Y28" i="33"/>
  <c r="AC28" i="33"/>
  <c r="Z28" i="33"/>
  <c r="Y15" i="33"/>
  <c r="AC15" i="33"/>
  <c r="Z15" i="33"/>
  <c r="Y53" i="33"/>
  <c r="AC53" i="33"/>
  <c r="Z53" i="33"/>
  <c r="X11" i="33"/>
  <c r="X12" i="33"/>
  <c r="Y12" i="33"/>
  <c r="Z12" i="33"/>
  <c r="Y11" i="33"/>
  <c r="Z11" i="33"/>
  <c r="F222" i="28"/>
  <c r="F221" i="28"/>
  <c r="F220" i="28"/>
  <c r="F219" i="28"/>
  <c r="F218" i="28"/>
  <c r="F217" i="28"/>
  <c r="F216" i="28"/>
  <c r="F215" i="28"/>
  <c r="F214" i="28"/>
  <c r="F213" i="28"/>
  <c r="F212" i="28"/>
  <c r="F211" i="28"/>
  <c r="Y61" i="24"/>
  <c r="Y60" i="24"/>
  <c r="Y59" i="24"/>
  <c r="Y58" i="24"/>
  <c r="Y57" i="24"/>
  <c r="Y56" i="24"/>
  <c r="Y55" i="24"/>
  <c r="Y54" i="24"/>
  <c r="Y53" i="24"/>
  <c r="Y52" i="24"/>
  <c r="Y51" i="24"/>
  <c r="Y50" i="24"/>
  <c r="Y49" i="24"/>
  <c r="Y48" i="24"/>
  <c r="Y47" i="24"/>
  <c r="Y46" i="24"/>
  <c r="Y45" i="24"/>
  <c r="Y44" i="24"/>
  <c r="Y43" i="24"/>
  <c r="Y42" i="24"/>
  <c r="Y41" i="24"/>
  <c r="Y40" i="24"/>
  <c r="Y39" i="24"/>
  <c r="Y38" i="24"/>
  <c r="Y37" i="24"/>
  <c r="Y36" i="24"/>
  <c r="Y35" i="24"/>
  <c r="Y34" i="24"/>
  <c r="Y33" i="24"/>
  <c r="Y32" i="24"/>
  <c r="M32" i="24"/>
  <c r="Y31" i="24"/>
  <c r="Y30" i="24"/>
  <c r="Y29" i="24"/>
  <c r="Y27" i="24"/>
  <c r="Y26" i="24"/>
  <c r="Y25" i="24"/>
  <c r="Y24" i="24"/>
  <c r="Y23" i="24"/>
  <c r="Y22" i="24"/>
  <c r="Y17" i="24"/>
  <c r="Y16" i="24"/>
  <c r="Y15" i="24"/>
  <c r="M15" i="24"/>
  <c r="Y9" i="24"/>
  <c r="Y8" i="24"/>
  <c r="Y7" i="24"/>
  <c r="Y6" i="24"/>
  <c r="Y5" i="24"/>
  <c r="H211" i="28"/>
  <c r="J6" i="44"/>
  <c r="P80" i="24"/>
  <c r="P62" i="24"/>
  <c r="K58" i="33"/>
  <c r="L58" i="33"/>
  <c r="K46" i="33"/>
  <c r="L46" i="33"/>
  <c r="K34" i="33"/>
  <c r="L34" i="33"/>
  <c r="K22" i="33"/>
  <c r="L22" i="33"/>
  <c r="K52" i="33"/>
  <c r="L52" i="33"/>
  <c r="K28" i="33"/>
  <c r="L28" i="33"/>
  <c r="K16" i="33"/>
  <c r="L16" i="33"/>
  <c r="K64" i="33"/>
  <c r="L64" i="33"/>
  <c r="K40" i="33"/>
  <c r="L40" i="33"/>
  <c r="K10" i="33"/>
  <c r="L10" i="33"/>
  <c r="P44" i="24"/>
  <c r="R44" i="24" s="1"/>
  <c r="P15" i="24"/>
  <c r="Q15" i="24" s="1"/>
  <c r="R15" i="24" s="1"/>
  <c r="P38" i="24"/>
  <c r="AJ12" i="44"/>
  <c r="AD14" i="44"/>
  <c r="L22" i="44"/>
  <c r="AD38" i="44"/>
  <c r="R6" i="44"/>
  <c r="R38" i="44"/>
  <c r="AJ22" i="44"/>
  <c r="AD6" i="44"/>
  <c r="X38" i="44"/>
  <c r="X6" i="44"/>
  <c r="R22" i="44"/>
  <c r="R14" i="44"/>
  <c r="L38" i="44"/>
  <c r="L6" i="44"/>
  <c r="AJ6" i="44"/>
  <c r="AJ30" i="44"/>
  <c r="AJ38" i="44"/>
  <c r="AD30" i="44"/>
  <c r="X22" i="44"/>
  <c r="R30" i="44"/>
  <c r="X14" i="44"/>
  <c r="L30" i="44"/>
  <c r="L14" i="44"/>
  <c r="AJ14" i="44"/>
  <c r="X30" i="44"/>
  <c r="AD22" i="44"/>
  <c r="N28" i="44"/>
  <c r="N44" i="44"/>
  <c r="T12" i="44"/>
  <c r="Z20" i="44"/>
  <c r="AF36" i="44"/>
  <c r="N36" i="44"/>
  <c r="Z36" i="44"/>
  <c r="AF20" i="44"/>
  <c r="N12" i="44"/>
  <c r="T28" i="44"/>
  <c r="T44" i="44"/>
  <c r="T36" i="44"/>
  <c r="Z12" i="44"/>
  <c r="AF12" i="44"/>
  <c r="AL12" i="44"/>
  <c r="Z28" i="44"/>
  <c r="Z44" i="44"/>
  <c r="AF28" i="44"/>
  <c r="AF44" i="44"/>
  <c r="AL28" i="44"/>
  <c r="AL44" i="44"/>
  <c r="N20" i="44"/>
  <c r="T20" i="44"/>
  <c r="AL36" i="44"/>
  <c r="AL20" i="44"/>
  <c r="J12" i="44"/>
  <c r="V12" i="44"/>
  <c r="V36" i="44"/>
  <c r="AB36" i="44"/>
  <c r="AH36" i="44"/>
  <c r="J44" i="44"/>
  <c r="P28" i="44"/>
  <c r="P44" i="44"/>
  <c r="AB12" i="44"/>
  <c r="AH12" i="44"/>
  <c r="J28" i="44"/>
  <c r="P12" i="44"/>
  <c r="P20" i="44"/>
  <c r="V28" i="44"/>
  <c r="V44" i="44"/>
  <c r="J36" i="44"/>
  <c r="P36" i="44"/>
  <c r="AB28" i="44"/>
  <c r="AB44" i="44"/>
  <c r="AH44" i="44"/>
  <c r="AH28" i="44"/>
  <c r="J20" i="44"/>
  <c r="AB20" i="44"/>
  <c r="V20" i="44"/>
  <c r="AH20" i="44"/>
  <c r="N8" i="44"/>
  <c r="T16" i="44"/>
  <c r="Z16" i="44"/>
  <c r="AF16" i="44"/>
  <c r="AL16" i="44"/>
  <c r="N24" i="44"/>
  <c r="T24" i="44"/>
  <c r="Z24" i="44"/>
  <c r="AF24" i="44"/>
  <c r="AL24" i="44"/>
  <c r="N32" i="44"/>
  <c r="T32" i="44"/>
  <c r="Z32" i="44"/>
  <c r="AF32" i="44"/>
  <c r="AL32" i="44"/>
  <c r="N40" i="44"/>
  <c r="T40" i="44"/>
  <c r="Z40" i="44"/>
  <c r="AF40" i="44"/>
  <c r="AL40" i="44"/>
  <c r="T8" i="44"/>
  <c r="Z8" i="44"/>
  <c r="AF8" i="44"/>
  <c r="AL8" i="44"/>
  <c r="N16" i="44"/>
  <c r="L10" i="44"/>
  <c r="L18" i="44"/>
  <c r="R18" i="44"/>
  <c r="X18" i="44"/>
  <c r="AD18" i="44"/>
  <c r="AJ18" i="44"/>
  <c r="L26" i="44"/>
  <c r="R26" i="44"/>
  <c r="X26" i="44"/>
  <c r="AD26" i="44"/>
  <c r="AJ26" i="44"/>
  <c r="L34" i="44"/>
  <c r="R34" i="44"/>
  <c r="X34" i="44"/>
  <c r="AD34" i="44"/>
  <c r="AJ34" i="44"/>
  <c r="L42" i="44"/>
  <c r="R42" i="44"/>
  <c r="X42" i="44"/>
  <c r="AD42" i="44"/>
  <c r="AJ42" i="44"/>
  <c r="R10" i="44"/>
  <c r="X10" i="44"/>
  <c r="AD10" i="44"/>
  <c r="AJ10" i="44"/>
  <c r="V6" i="44"/>
  <c r="AB6" i="44"/>
  <c r="AH6" i="44"/>
  <c r="J14" i="44"/>
  <c r="P14" i="44"/>
  <c r="V14" i="44"/>
  <c r="AB14" i="44"/>
  <c r="AH14" i="44"/>
  <c r="J22" i="44"/>
  <c r="P22" i="44"/>
  <c r="V22" i="44"/>
  <c r="AB22" i="44"/>
  <c r="AH22" i="44"/>
  <c r="J30" i="44"/>
  <c r="P30" i="44"/>
  <c r="V30" i="44"/>
  <c r="AB30" i="44"/>
  <c r="AH30" i="44"/>
  <c r="J38" i="44"/>
  <c r="P38" i="44"/>
  <c r="V38" i="44"/>
  <c r="AB38" i="44"/>
  <c r="AH38" i="44"/>
  <c r="P6" i="44"/>
  <c r="N10" i="44"/>
  <c r="N18" i="44"/>
  <c r="T18" i="44"/>
  <c r="Z18" i="44"/>
  <c r="AF18" i="44"/>
  <c r="AL18" i="44"/>
  <c r="N26" i="44"/>
  <c r="T26" i="44"/>
  <c r="Z26" i="44"/>
  <c r="AF26" i="44"/>
  <c r="AL26" i="44"/>
  <c r="N34" i="44"/>
  <c r="T34" i="44"/>
  <c r="Z34" i="44"/>
  <c r="AF34" i="44"/>
  <c r="AL34" i="44"/>
  <c r="N42" i="44"/>
  <c r="T42" i="44"/>
  <c r="Z42" i="44"/>
  <c r="AF42" i="44"/>
  <c r="AL42" i="44"/>
  <c r="T10" i="44"/>
  <c r="Z10" i="44"/>
  <c r="AF10" i="44"/>
  <c r="AL10" i="44"/>
  <c r="J10" i="44"/>
  <c r="J18" i="44"/>
  <c r="P18" i="44"/>
  <c r="V18" i="44"/>
  <c r="AB18" i="44"/>
  <c r="AH18" i="44"/>
  <c r="J26" i="44"/>
  <c r="P26" i="44"/>
  <c r="V26" i="44"/>
  <c r="AB26" i="44"/>
  <c r="AH26" i="44"/>
  <c r="J34" i="44"/>
  <c r="P34" i="44"/>
  <c r="V34" i="44"/>
  <c r="AB34" i="44"/>
  <c r="AH34" i="44"/>
  <c r="J42" i="44"/>
  <c r="P42" i="44"/>
  <c r="V42" i="44"/>
  <c r="AB42" i="44"/>
  <c r="AH42" i="44"/>
  <c r="P10" i="44"/>
  <c r="V10" i="44"/>
  <c r="AB10" i="44"/>
  <c r="AH10" i="44"/>
  <c r="L8" i="44"/>
  <c r="R16" i="44"/>
  <c r="X16" i="44"/>
  <c r="AD16" i="44"/>
  <c r="AJ16" i="44"/>
  <c r="L24" i="44"/>
  <c r="R24" i="44"/>
  <c r="X24" i="44"/>
  <c r="AD24" i="44"/>
  <c r="AJ24" i="44"/>
  <c r="L32" i="44"/>
  <c r="R32" i="44"/>
  <c r="X32" i="44"/>
  <c r="AD32" i="44"/>
  <c r="AJ32" i="44"/>
  <c r="L40" i="44"/>
  <c r="R40" i="44"/>
  <c r="X40" i="44"/>
  <c r="AD40" i="44"/>
  <c r="AJ40" i="44"/>
  <c r="R8" i="44"/>
  <c r="X8" i="44"/>
  <c r="AD8" i="44"/>
  <c r="AJ8" i="44"/>
  <c r="L16" i="44"/>
  <c r="P8" i="44"/>
  <c r="V8" i="44"/>
  <c r="AB8" i="44"/>
  <c r="AH8" i="44"/>
  <c r="J16" i="44"/>
  <c r="P16" i="44"/>
  <c r="V16" i="44"/>
  <c r="AB16" i="44"/>
  <c r="AH16" i="44"/>
  <c r="J24" i="44"/>
  <c r="P24" i="44"/>
  <c r="V24" i="44"/>
  <c r="AB24" i="44"/>
  <c r="AH24" i="44"/>
  <c r="J32" i="44"/>
  <c r="P32" i="44"/>
  <c r="V32" i="44"/>
  <c r="AB32" i="44"/>
  <c r="AH32" i="44"/>
  <c r="J40" i="44"/>
  <c r="P40" i="44"/>
  <c r="V40" i="44"/>
  <c r="AB40" i="44"/>
  <c r="AH40" i="44"/>
  <c r="J8" i="44"/>
  <c r="N6" i="44"/>
  <c r="Z6" i="44"/>
  <c r="AF6" i="44"/>
  <c r="AL6" i="44"/>
  <c r="N14" i="44"/>
  <c r="T14" i="44"/>
  <c r="Z14" i="44"/>
  <c r="AF14" i="44"/>
  <c r="AL14" i="44"/>
  <c r="N22" i="44"/>
  <c r="T22" i="44"/>
  <c r="Z22" i="44"/>
  <c r="AF22" i="44"/>
  <c r="AL22" i="44"/>
  <c r="N30" i="44"/>
  <c r="T30" i="44"/>
  <c r="Z30" i="44"/>
  <c r="AF30" i="44"/>
  <c r="AL30" i="44"/>
  <c r="N38" i="44"/>
  <c r="T38" i="44"/>
  <c r="Z38" i="44"/>
  <c r="AF38" i="44"/>
  <c r="AL38" i="44"/>
  <c r="T6" i="44"/>
  <c r="M64" i="33"/>
  <c r="N64" i="33"/>
  <c r="M22" i="33"/>
  <c r="N22" i="33"/>
  <c r="M16" i="33"/>
  <c r="N16" i="33"/>
  <c r="M34" i="33"/>
  <c r="N34" i="33"/>
  <c r="N10" i="33"/>
  <c r="M10" i="33"/>
  <c r="M28" i="33"/>
  <c r="N28" i="33"/>
  <c r="M46" i="33"/>
  <c r="N46" i="33"/>
  <c r="N40" i="33"/>
  <c r="M40" i="33"/>
  <c r="N52" i="33"/>
  <c r="M52" i="33"/>
  <c r="M58" i="33"/>
  <c r="N58" i="33"/>
  <c r="AJ28" i="44"/>
  <c r="AJ20" i="44"/>
  <c r="AJ44" i="44"/>
  <c r="AJ36" i="44"/>
  <c r="AD36" i="44"/>
  <c r="AD44" i="44"/>
  <c r="AD20" i="44"/>
  <c r="AD28" i="44"/>
  <c r="X12" i="44"/>
  <c r="AD12" i="44"/>
  <c r="X28" i="44"/>
  <c r="X20" i="44"/>
  <c r="X44" i="44"/>
  <c r="X36" i="44"/>
  <c r="L28" i="44"/>
  <c r="L20" i="44"/>
  <c r="L44" i="44"/>
  <c r="L36" i="44"/>
  <c r="R36" i="44"/>
  <c r="R44" i="44"/>
  <c r="R20" i="44"/>
  <c r="R28" i="44"/>
  <c r="L12" i="44"/>
  <c r="R12" i="44"/>
  <c r="P6" i="45"/>
  <c r="V6" i="45"/>
  <c r="AB6" i="45"/>
  <c r="AH6" i="45"/>
  <c r="J16" i="45"/>
  <c r="P16" i="45"/>
  <c r="V16" i="45"/>
  <c r="AB16" i="45"/>
  <c r="AH16" i="45"/>
  <c r="J26" i="45"/>
  <c r="P26" i="45"/>
  <c r="V26" i="45"/>
  <c r="AB26" i="45"/>
  <c r="AH26" i="45"/>
  <c r="J36" i="45"/>
  <c r="P36" i="45"/>
  <c r="V36" i="45"/>
  <c r="AB36" i="45"/>
  <c r="AH36" i="45"/>
  <c r="J46" i="45"/>
  <c r="P46" i="45"/>
  <c r="V46" i="45"/>
  <c r="AB46" i="45"/>
  <c r="AH46" i="45"/>
  <c r="J6" i="45"/>
  <c r="AB11" i="33"/>
  <c r="AB10" i="33"/>
  <c r="AA10" i="33"/>
  <c r="AC10" i="33"/>
  <c r="AA11" i="33"/>
  <c r="AC11" i="33"/>
  <c r="AB12" i="33"/>
  <c r="AA12" i="33"/>
  <c r="AC12" i="33"/>
  <c r="AC208" i="24" l="1"/>
  <c r="AK6" i="55"/>
  <c r="AL6" i="55" s="1"/>
  <c r="AN6" i="55" s="1"/>
  <c r="AK8" i="55"/>
  <c r="AL8" i="55" s="1"/>
  <c r="AN8" i="55" s="1"/>
  <c r="AP8" i="55" s="1"/>
  <c r="AK10" i="55"/>
  <c r="AL10" i="55" s="1"/>
  <c r="AN10" i="55" s="1"/>
  <c r="AP10" i="55" s="1"/>
  <c r="AK12" i="55"/>
  <c r="AL12" i="55" s="1"/>
  <c r="AN12" i="55" s="1"/>
  <c r="AP12" i="55" s="1"/>
  <c r="AK14" i="55"/>
  <c r="AL14" i="55" s="1"/>
  <c r="AN14" i="55" s="1"/>
  <c r="AO14" i="55" s="1"/>
  <c r="AQ14" i="55" s="1"/>
  <c r="AR14" i="55" s="1"/>
  <c r="AK16" i="55"/>
  <c r="AL16" i="55" s="1"/>
  <c r="AN16" i="55" s="1"/>
  <c r="AO16" i="55" s="1"/>
  <c r="AQ16" i="55" s="1"/>
  <c r="AR16" i="55" s="1"/>
  <c r="AV16" i="55" s="1"/>
  <c r="AK18" i="55"/>
  <c r="AL18" i="55" s="1"/>
  <c r="AN18" i="55" s="1"/>
  <c r="AP18" i="55" s="1"/>
  <c r="AK20" i="55"/>
  <c r="AL20" i="55" s="1"/>
  <c r="AN20" i="55" s="1"/>
  <c r="AO20" i="55" s="1"/>
  <c r="AQ20" i="55" s="1"/>
  <c r="AR20" i="55" s="1"/>
  <c r="AK22" i="55"/>
  <c r="AL22" i="55" s="1"/>
  <c r="AN22" i="55" s="1"/>
  <c r="AK24" i="55"/>
  <c r="AL24" i="55" s="1"/>
  <c r="AN24" i="55" s="1"/>
  <c r="AP24" i="55" s="1"/>
  <c r="AK26" i="55"/>
  <c r="AL26" i="55" s="1"/>
  <c r="AN26" i="55" s="1"/>
  <c r="AO26" i="55" s="1"/>
  <c r="AQ26" i="55" s="1"/>
  <c r="AR26" i="55" s="1"/>
  <c r="AK30" i="55"/>
  <c r="AL30" i="55" s="1"/>
  <c r="AN30" i="55" s="1"/>
  <c r="AO30" i="55" s="1"/>
  <c r="AQ30" i="55" s="1"/>
  <c r="AR30" i="55" s="1"/>
  <c r="AU30" i="55" s="1"/>
  <c r="AK32" i="55"/>
  <c r="AL32" i="55" s="1"/>
  <c r="AN32" i="55" s="1"/>
  <c r="AP32" i="55" s="1"/>
  <c r="AK34" i="55"/>
  <c r="AL34" i="55" s="1"/>
  <c r="AN34" i="55" s="1"/>
  <c r="AP34" i="55" s="1"/>
  <c r="AK36" i="55"/>
  <c r="AL36" i="55" s="1"/>
  <c r="AN36" i="55" s="1"/>
  <c r="AO36" i="55" s="1"/>
  <c r="AQ36" i="55" s="1"/>
  <c r="AR36" i="55" s="1"/>
  <c r="AU36" i="55" s="1"/>
  <c r="AK40" i="55"/>
  <c r="AL40" i="55" s="1"/>
  <c r="AN40" i="55" s="1"/>
  <c r="AP40" i="55" s="1"/>
  <c r="AK42" i="55"/>
  <c r="AL42" i="55" s="1"/>
  <c r="AN42" i="55" s="1"/>
  <c r="AP42" i="55" s="1"/>
  <c r="AK44" i="55"/>
  <c r="AL44" i="55" s="1"/>
  <c r="AN44" i="55" s="1"/>
  <c r="AP44" i="55" s="1"/>
  <c r="AK46" i="55"/>
  <c r="AL46" i="55" s="1"/>
  <c r="AN46" i="55" s="1"/>
  <c r="AO46" i="55" s="1"/>
  <c r="AQ46" i="55" s="1"/>
  <c r="AR46" i="55" s="1"/>
  <c r="AK48" i="55"/>
  <c r="AL48" i="55" s="1"/>
  <c r="AN48" i="55" s="1"/>
  <c r="AP48" i="55" s="1"/>
  <c r="AK50" i="55"/>
  <c r="AL50" i="55" s="1"/>
  <c r="AN50" i="55" s="1"/>
  <c r="AO50" i="55" s="1"/>
  <c r="AQ50" i="55" s="1"/>
  <c r="AR50" i="55" s="1"/>
  <c r="AK56" i="55"/>
  <c r="AL56" i="55" s="1"/>
  <c r="AN56" i="55" s="1"/>
  <c r="AP56" i="55" s="1"/>
  <c r="AK58" i="55"/>
  <c r="AL58" i="55" s="1"/>
  <c r="AN58" i="55" s="1"/>
  <c r="AP58" i="55" s="1"/>
  <c r="AK4" i="55"/>
  <c r="AL4" i="55" s="1"/>
  <c r="AN4" i="55" s="1"/>
  <c r="AO4" i="55" s="1"/>
  <c r="AQ4" i="55" s="1"/>
  <c r="AR4" i="55" s="1"/>
  <c r="AV4" i="55" s="1"/>
  <c r="S28" i="24"/>
  <c r="N28" i="24"/>
  <c r="U11" i="54"/>
  <c r="U19" i="54"/>
  <c r="AE10" i="54"/>
  <c r="AE4" i="54"/>
  <c r="U17" i="54"/>
  <c r="U12" i="54"/>
  <c r="U18" i="54"/>
  <c r="AK52" i="55"/>
  <c r="AL52" i="55" s="1"/>
  <c r="AN52" i="55" s="1"/>
  <c r="AK54" i="55"/>
  <c r="AL54" i="55" s="1"/>
  <c r="AN54" i="55" s="1"/>
  <c r="AP54" i="55" s="1"/>
  <c r="AK38" i="55"/>
  <c r="AL38" i="55" s="1"/>
  <c r="AN38" i="55" s="1"/>
  <c r="AP38" i="55" s="1"/>
  <c r="U22" i="54"/>
  <c r="U13" i="54"/>
  <c r="U8" i="54"/>
  <c r="AK28" i="55"/>
  <c r="AL28" i="55" s="1"/>
  <c r="AN28" i="55" s="1"/>
  <c r="T36" i="54"/>
  <c r="U36" i="54"/>
  <c r="T34" i="54"/>
  <c r="U34" i="54"/>
  <c r="T33" i="54"/>
  <c r="AI33" i="54" s="1"/>
  <c r="AH33" i="54" s="1"/>
  <c r="U33" i="54"/>
  <c r="T27" i="54"/>
  <c r="AI27" i="54" s="1"/>
  <c r="AH27" i="54" s="1"/>
  <c r="U27" i="54"/>
  <c r="T26" i="54"/>
  <c r="AI26" i="54" s="1"/>
  <c r="AH26" i="54" s="1"/>
  <c r="U26" i="54"/>
  <c r="T25" i="54"/>
  <c r="AI25" i="54" s="1"/>
  <c r="AH25" i="54" s="1"/>
  <c r="U25" i="54"/>
  <c r="U16" i="54"/>
  <c r="P16" i="54"/>
  <c r="AI12" i="54"/>
  <c r="AH12" i="54" s="1"/>
  <c r="AE12" i="54"/>
  <c r="T6" i="54"/>
  <c r="U6" i="54"/>
  <c r="U5" i="54"/>
  <c r="P5" i="54"/>
  <c r="T4" i="54"/>
  <c r="AI4" i="54" s="1"/>
  <c r="AI5" i="54" s="1"/>
  <c r="AH5" i="54" s="1"/>
  <c r="U4" i="54"/>
  <c r="AK7" i="55"/>
  <c r="AL7" i="55" s="1"/>
  <c r="AN7" i="55" s="1"/>
  <c r="AK11" i="55"/>
  <c r="AL11" i="55" s="1"/>
  <c r="AN11" i="55" s="1"/>
  <c r="AK15" i="55"/>
  <c r="AL15" i="55" s="1"/>
  <c r="AN15" i="55" s="1"/>
  <c r="AK19" i="55"/>
  <c r="AL19" i="55" s="1"/>
  <c r="AN19" i="55" s="1"/>
  <c r="AP19" i="55" s="1"/>
  <c r="AK23" i="55"/>
  <c r="AL23" i="55" s="1"/>
  <c r="AN23" i="55" s="1"/>
  <c r="AK31" i="55"/>
  <c r="AL31" i="55" s="1"/>
  <c r="AN31" i="55" s="1"/>
  <c r="AK33" i="55"/>
  <c r="AL33" i="55" s="1"/>
  <c r="AN33" i="55" s="1"/>
  <c r="AK41" i="55"/>
  <c r="AL41" i="55" s="1"/>
  <c r="AN41" i="55" s="1"/>
  <c r="AK45" i="55"/>
  <c r="AL45" i="55" s="1"/>
  <c r="AN45" i="55" s="1"/>
  <c r="AK47" i="55"/>
  <c r="AL47" i="55" s="1"/>
  <c r="AN47" i="55" s="1"/>
  <c r="AK59" i="55"/>
  <c r="AL59" i="55" s="1"/>
  <c r="AN59" i="55" s="1"/>
  <c r="AO59" i="55" s="1"/>
  <c r="AQ59" i="55" s="1"/>
  <c r="AR59" i="55" s="1"/>
  <c r="AV59" i="55" s="1"/>
  <c r="AK3" i="55"/>
  <c r="AL3" i="55" s="1"/>
  <c r="AN3" i="55" s="1"/>
  <c r="AK5" i="55"/>
  <c r="AL5" i="55" s="1"/>
  <c r="AN5" i="55" s="1"/>
  <c r="AO5" i="55" s="1"/>
  <c r="AQ5" i="55" s="1"/>
  <c r="AR5" i="55" s="1"/>
  <c r="AK9" i="55"/>
  <c r="AL9" i="55" s="1"/>
  <c r="AN9" i="55" s="1"/>
  <c r="AK13" i="55"/>
  <c r="AL13" i="55" s="1"/>
  <c r="AN13" i="55" s="1"/>
  <c r="AP13" i="55" s="1"/>
  <c r="AK17" i="55"/>
  <c r="AL17" i="55" s="1"/>
  <c r="AN17" i="55" s="1"/>
  <c r="AK21" i="55"/>
  <c r="AL21" i="55" s="1"/>
  <c r="AN21" i="55" s="1"/>
  <c r="AK25" i="55"/>
  <c r="AL25" i="55" s="1"/>
  <c r="AN25" i="55" s="1"/>
  <c r="AP25" i="55" s="1"/>
  <c r="AK27" i="55"/>
  <c r="AL27" i="55" s="1"/>
  <c r="AN27" i="55" s="1"/>
  <c r="AP27" i="55" s="1"/>
  <c r="AK29" i="55"/>
  <c r="AL29" i="55" s="1"/>
  <c r="AN29" i="55" s="1"/>
  <c r="AK35" i="55"/>
  <c r="AL35" i="55" s="1"/>
  <c r="AN35" i="55" s="1"/>
  <c r="AP35" i="55" s="1"/>
  <c r="AK37" i="55"/>
  <c r="AL37" i="55" s="1"/>
  <c r="AN37" i="55" s="1"/>
  <c r="AO37" i="55" s="1"/>
  <c r="AQ37" i="55" s="1"/>
  <c r="AR37" i="55" s="1"/>
  <c r="AK39" i="55"/>
  <c r="AL39" i="55" s="1"/>
  <c r="AN39" i="55" s="1"/>
  <c r="AO39" i="55" s="1"/>
  <c r="AQ39" i="55" s="1"/>
  <c r="AR39" i="55" s="1"/>
  <c r="AV39" i="55" s="1"/>
  <c r="AK43" i="55"/>
  <c r="AL43" i="55" s="1"/>
  <c r="AN43" i="55" s="1"/>
  <c r="AP43" i="55" s="1"/>
  <c r="AK49" i="55"/>
  <c r="AL49" i="55" s="1"/>
  <c r="AN49" i="55" s="1"/>
  <c r="AO49" i="55" s="1"/>
  <c r="AQ49" i="55" s="1"/>
  <c r="AR49" i="55" s="1"/>
  <c r="AK51" i="55"/>
  <c r="AL51" i="55" s="1"/>
  <c r="AN51" i="55" s="1"/>
  <c r="AO51" i="55" s="1"/>
  <c r="AQ51" i="55" s="1"/>
  <c r="AR51" i="55" s="1"/>
  <c r="AK53" i="55"/>
  <c r="AL53" i="55" s="1"/>
  <c r="AN53" i="55" s="1"/>
  <c r="AP53" i="55" s="1"/>
  <c r="AK55" i="55"/>
  <c r="AL55" i="55" s="1"/>
  <c r="AN55" i="55" s="1"/>
  <c r="AP55" i="55" s="1"/>
  <c r="AK57" i="55"/>
  <c r="AL57" i="55" s="1"/>
  <c r="AN57" i="55" s="1"/>
  <c r="AP57" i="55" s="1"/>
  <c r="AP22" i="55"/>
  <c r="AO22" i="55"/>
  <c r="AQ22" i="55" s="1"/>
  <c r="AR22" i="55" s="1"/>
  <c r="AP50" i="55"/>
  <c r="AP6" i="55"/>
  <c r="AO6" i="55"/>
  <c r="AQ6" i="55" s="1"/>
  <c r="AR6" i="55" s="1"/>
  <c r="AO24" i="55"/>
  <c r="AQ24" i="55" s="1"/>
  <c r="AR24" i="55" s="1"/>
  <c r="AO34" i="55"/>
  <c r="AQ34" i="55" s="1"/>
  <c r="AR34" i="55" s="1"/>
  <c r="AP52" i="55"/>
  <c r="AO52" i="55"/>
  <c r="AQ52" i="55" s="1"/>
  <c r="AR52" i="55" s="1"/>
  <c r="AP30" i="55"/>
  <c r="T31" i="54"/>
  <c r="AI31" i="54" s="1"/>
  <c r="AH31" i="54" s="1"/>
  <c r="U31" i="54"/>
  <c r="U32" i="54"/>
  <c r="T32" i="54"/>
  <c r="AI32" i="54" s="1"/>
  <c r="AH32" i="54" s="1"/>
  <c r="U14" i="54"/>
  <c r="T14" i="54"/>
  <c r="U9" i="54"/>
  <c r="AG4" i="54"/>
  <c r="AE5" i="54" s="1"/>
  <c r="AF4" i="54"/>
  <c r="U35" i="54"/>
  <c r="T35" i="54"/>
  <c r="AG10" i="54"/>
  <c r="AF10" i="54"/>
  <c r="T7" i="54"/>
  <c r="U7" i="54"/>
  <c r="U21" i="54"/>
  <c r="T21" i="54"/>
  <c r="T30" i="54"/>
  <c r="AI30" i="54" s="1"/>
  <c r="AH30" i="54" s="1"/>
  <c r="U30" i="54"/>
  <c r="U10" i="54"/>
  <c r="U20" i="54"/>
  <c r="P6" i="54"/>
  <c r="AI10" i="54"/>
  <c r="AH10" i="54" s="1"/>
  <c r="T28" i="54"/>
  <c r="AI28" i="54" s="1"/>
  <c r="AH28" i="54" s="1"/>
  <c r="T29" i="54"/>
  <c r="AI29" i="54" s="1"/>
  <c r="AH29" i="54" s="1"/>
  <c r="U15" i="54"/>
  <c r="P11" i="54"/>
  <c r="AE11" i="54" s="1"/>
  <c r="S220" i="24"/>
  <c r="AG122" i="24"/>
  <c r="AF122" i="24" s="1"/>
  <c r="V44" i="25"/>
  <c r="P12" i="25"/>
  <c r="AB44" i="25"/>
  <c r="S140" i="24"/>
  <c r="S99" i="24"/>
  <c r="T42" i="25"/>
  <c r="S251" i="24"/>
  <c r="S187" i="24"/>
  <c r="AC50" i="24"/>
  <c r="AE50" i="24" s="1"/>
  <c r="AC51" i="24" s="1"/>
  <c r="S199" i="24"/>
  <c r="N140" i="24"/>
  <c r="AC140" i="24" s="1"/>
  <c r="AC230" i="24"/>
  <c r="AE230" i="24" s="1"/>
  <c r="AC231" i="24" s="1"/>
  <c r="S260" i="24"/>
  <c r="S249" i="24"/>
  <c r="R249" i="24"/>
  <c r="R74" i="24"/>
  <c r="AG74" i="24" s="1"/>
  <c r="AG81" i="24" s="1"/>
  <c r="AD44" i="25"/>
  <c r="S138" i="24"/>
  <c r="R138" i="24"/>
  <c r="S81" i="24"/>
  <c r="R81" i="24"/>
  <c r="AG188" i="24"/>
  <c r="AF188" i="24" s="1"/>
  <c r="Z38" i="25"/>
  <c r="S113" i="24"/>
  <c r="S247" i="24"/>
  <c r="S231" i="24"/>
  <c r="S98" i="24"/>
  <c r="S201" i="24"/>
  <c r="P8" i="25"/>
  <c r="S209" i="24"/>
  <c r="R36" i="25"/>
  <c r="S225" i="24"/>
  <c r="AC128" i="24"/>
  <c r="AD128" i="24" s="1"/>
  <c r="S93" i="24"/>
  <c r="AH24" i="25"/>
  <c r="R25" i="24"/>
  <c r="AG25" i="24" s="1"/>
  <c r="T22" i="25"/>
  <c r="T14" i="25"/>
  <c r="R170" i="24"/>
  <c r="AG170" i="24" s="1"/>
  <c r="AF170" i="24" s="1"/>
  <c r="S170" i="24"/>
  <c r="S219" i="24"/>
  <c r="R219" i="24"/>
  <c r="R230" i="24"/>
  <c r="AG230" i="24" s="1"/>
  <c r="AF230" i="24" s="1"/>
  <c r="S230" i="24"/>
  <c r="S147" i="24"/>
  <c r="S239" i="24"/>
  <c r="AG152" i="24"/>
  <c r="AF152" i="24" s="1"/>
  <c r="S54" i="24"/>
  <c r="S97" i="24"/>
  <c r="AF12" i="25"/>
  <c r="S131" i="24"/>
  <c r="AJ12" i="25"/>
  <c r="S174" i="24"/>
  <c r="S229" i="24"/>
  <c r="AG176" i="24"/>
  <c r="AG183" i="24" s="1"/>
  <c r="AC224" i="24"/>
  <c r="AE224" i="24" s="1"/>
  <c r="AC225" i="24" s="1"/>
  <c r="S42" i="24"/>
  <c r="R34" i="25"/>
  <c r="S21" i="24"/>
  <c r="X44" i="25"/>
  <c r="S191" i="24"/>
  <c r="L36" i="25"/>
  <c r="T38" i="25"/>
  <c r="S127" i="24"/>
  <c r="AG182" i="24"/>
  <c r="AF182" i="24" s="1"/>
  <c r="S144" i="24"/>
  <c r="N220" i="24"/>
  <c r="AG236" i="24"/>
  <c r="AF236" i="24" s="1"/>
  <c r="S66" i="24"/>
  <c r="S194" i="24"/>
  <c r="R194" i="24"/>
  <c r="AG194" i="24" s="1"/>
  <c r="AF194" i="24" s="1"/>
  <c r="R207" i="24"/>
  <c r="S207" i="24"/>
  <c r="AG260" i="24"/>
  <c r="AF260" i="24" s="1"/>
  <c r="R159" i="24"/>
  <c r="S159" i="24"/>
  <c r="S158" i="24"/>
  <c r="R158" i="24"/>
  <c r="AG158" i="24" s="1"/>
  <c r="S48" i="24"/>
  <c r="R48" i="24"/>
  <c r="Z42" i="25"/>
  <c r="P16" i="25"/>
  <c r="V40" i="25"/>
  <c r="AF6" i="25"/>
  <c r="S108" i="24"/>
  <c r="AF36" i="25"/>
  <c r="S148" i="24"/>
  <c r="R44" i="25"/>
  <c r="J36" i="25"/>
  <c r="P20" i="25"/>
  <c r="S255" i="24"/>
  <c r="AC56" i="24"/>
  <c r="AE56" i="24" s="1"/>
  <c r="AC57" i="24" s="1"/>
  <c r="AC182" i="24"/>
  <c r="AD182" i="24" s="1"/>
  <c r="S111" i="24"/>
  <c r="J16" i="25"/>
  <c r="V28" i="25"/>
  <c r="AB36" i="25"/>
  <c r="J40" i="25"/>
  <c r="AB12" i="25"/>
  <c r="AF30" i="25"/>
  <c r="N260" i="24"/>
  <c r="AC260" i="24" s="1"/>
  <c r="AD260" i="24" s="1"/>
  <c r="S197" i="24"/>
  <c r="AC164" i="24"/>
  <c r="AE164" i="24" s="1"/>
  <c r="AC165" i="24" s="1"/>
  <c r="AE165" i="24" s="1"/>
  <c r="AC166" i="24" s="1"/>
  <c r="S150" i="24"/>
  <c r="AG68" i="24"/>
  <c r="AG75" i="24" s="1"/>
  <c r="S259" i="24"/>
  <c r="J32" i="25"/>
  <c r="AB8" i="25"/>
  <c r="P44" i="25"/>
  <c r="AG146" i="24"/>
  <c r="AF146" i="24" s="1"/>
  <c r="AH16" i="25"/>
  <c r="P36" i="25"/>
  <c r="X28" i="25"/>
  <c r="S221" i="24"/>
  <c r="N7" i="24"/>
  <c r="AC254" i="24"/>
  <c r="S49" i="24"/>
  <c r="J12" i="25"/>
  <c r="AB20" i="25"/>
  <c r="L28" i="25"/>
  <c r="S118" i="24"/>
  <c r="N127" i="24"/>
  <c r="N32" i="24"/>
  <c r="AC32" i="24" s="1"/>
  <c r="AE32" i="24" s="1"/>
  <c r="AC33" i="24" s="1"/>
  <c r="AD33" i="24" s="1"/>
  <c r="S162" i="24"/>
  <c r="J28" i="25"/>
  <c r="V16" i="25"/>
  <c r="S37" i="24"/>
  <c r="AH12" i="25"/>
  <c r="V36" i="25"/>
  <c r="R10" i="25"/>
  <c r="R20" i="25"/>
  <c r="S52" i="24"/>
  <c r="S58" i="24"/>
  <c r="S86" i="24"/>
  <c r="S129" i="24"/>
  <c r="AH44" i="25"/>
  <c r="V20" i="25"/>
  <c r="V6" i="25"/>
  <c r="L20" i="25"/>
  <c r="AC104" i="24"/>
  <c r="AD104" i="24" s="1"/>
  <c r="S161" i="24"/>
  <c r="N66" i="24"/>
  <c r="S135" i="24"/>
  <c r="S33" i="24"/>
  <c r="V24" i="25"/>
  <c r="S177" i="24"/>
  <c r="S12" i="24"/>
  <c r="J8" i="25"/>
  <c r="AJ26" i="25"/>
  <c r="J30" i="25"/>
  <c r="AH36" i="25"/>
  <c r="R18" i="25"/>
  <c r="P6" i="25"/>
  <c r="AB28" i="25"/>
  <c r="AD10" i="25"/>
  <c r="N6" i="24"/>
  <c r="S53" i="24"/>
  <c r="V8" i="25"/>
  <c r="V32" i="25"/>
  <c r="S73" i="24"/>
  <c r="AH8" i="25"/>
  <c r="AH32" i="25"/>
  <c r="AH28" i="25"/>
  <c r="AL14" i="25"/>
  <c r="AG140" i="24"/>
  <c r="AF140" i="24" s="1"/>
  <c r="J44" i="25"/>
  <c r="J20" i="25"/>
  <c r="N6" i="25"/>
  <c r="V12" i="25"/>
  <c r="P28" i="25"/>
  <c r="AL22" i="25"/>
  <c r="S79" i="24"/>
  <c r="AB24" i="25"/>
  <c r="AH20" i="25"/>
  <c r="AG44" i="24"/>
  <c r="AF44" i="24" s="1"/>
  <c r="S166" i="24"/>
  <c r="S137" i="24"/>
  <c r="S234" i="24"/>
  <c r="R234" i="24"/>
  <c r="AG219" i="24"/>
  <c r="AG220" i="24" s="1"/>
  <c r="S153" i="24"/>
  <c r="R153" i="24"/>
  <c r="R26" i="24"/>
  <c r="S26" i="24"/>
  <c r="S134" i="24"/>
  <c r="R134" i="24"/>
  <c r="AG134" i="24" s="1"/>
  <c r="AF134" i="24" s="1"/>
  <c r="R133" i="24"/>
  <c r="S133" i="24"/>
  <c r="R104" i="24"/>
  <c r="AG104" i="24" s="1"/>
  <c r="S104" i="24"/>
  <c r="AG248" i="24"/>
  <c r="R164" i="24"/>
  <c r="AG164" i="24" s="1"/>
  <c r="S164" i="24"/>
  <c r="S208" i="24"/>
  <c r="R208" i="24"/>
  <c r="S128" i="24"/>
  <c r="R128" i="24"/>
  <c r="AG128" i="24" s="1"/>
  <c r="AG135" i="24" s="1"/>
  <c r="R193" i="24"/>
  <c r="S193" i="24"/>
  <c r="L24" i="25"/>
  <c r="AD40" i="25"/>
  <c r="AD24" i="25"/>
  <c r="AJ8" i="25"/>
  <c r="L16" i="25"/>
  <c r="R114" i="24"/>
  <c r="S114" i="24"/>
  <c r="S179" i="24"/>
  <c r="R179" i="24"/>
  <c r="R141" i="24"/>
  <c r="S141" i="24"/>
  <c r="R200" i="24"/>
  <c r="AG200" i="24" s="1"/>
  <c r="S200" i="24"/>
  <c r="J14" i="52" a="1"/>
  <c r="AB42" i="25"/>
  <c r="P18" i="25"/>
  <c r="J42" i="25"/>
  <c r="V34" i="25"/>
  <c r="P26" i="25"/>
  <c r="AB10" i="25"/>
  <c r="AH42" i="25"/>
  <c r="P10" i="25"/>
  <c r="J34" i="25"/>
  <c r="J10" i="25"/>
  <c r="P42" i="25"/>
  <c r="AH34" i="25"/>
  <c r="AH26" i="25"/>
  <c r="AB18" i="25"/>
  <c r="V42" i="25"/>
  <c r="J26" i="25"/>
  <c r="AB34" i="25"/>
  <c r="V10" i="25"/>
  <c r="AH18" i="25"/>
  <c r="AH10" i="25"/>
  <c r="V26" i="25"/>
  <c r="J18" i="25"/>
  <c r="P34" i="25"/>
  <c r="S258" i="24"/>
  <c r="R258" i="24"/>
  <c r="J22" i="52" a="1"/>
  <c r="Z30" i="25"/>
  <c r="AJ28" i="25"/>
  <c r="AC200" i="24"/>
  <c r="AD200" i="24" s="1"/>
  <c r="S248" i="24"/>
  <c r="S57" i="24"/>
  <c r="S145" i="24"/>
  <c r="S65" i="24"/>
  <c r="R32" i="25"/>
  <c r="V30" i="25"/>
  <c r="Z26" i="25"/>
  <c r="AC188" i="24"/>
  <c r="AD188" i="24" s="1"/>
  <c r="L8" i="25"/>
  <c r="AH22" i="25"/>
  <c r="AL6" i="25"/>
  <c r="AJ24" i="25"/>
  <c r="AB38" i="25"/>
  <c r="AL30" i="25"/>
  <c r="Z14" i="25"/>
  <c r="AD28" i="25"/>
  <c r="S180" i="24"/>
  <c r="S64" i="24"/>
  <c r="N259" i="24"/>
  <c r="AC158" i="24"/>
  <c r="S69" i="24"/>
  <c r="S243" i="24"/>
  <c r="S38" i="24"/>
  <c r="AB22" i="25"/>
  <c r="R28" i="25"/>
  <c r="AC44" i="24"/>
  <c r="R42" i="24"/>
  <c r="S242" i="24"/>
  <c r="S173" i="24"/>
  <c r="S45" i="24"/>
  <c r="S82" i="24"/>
  <c r="N199" i="24"/>
  <c r="S185" i="24"/>
  <c r="S11" i="24"/>
  <c r="S119" i="24"/>
  <c r="S257" i="24"/>
  <c r="S24" i="24"/>
  <c r="X8" i="25"/>
  <c r="X10" i="25"/>
  <c r="AF14" i="25"/>
  <c r="T12" i="25"/>
  <c r="AD20" i="25"/>
  <c r="S136" i="24"/>
  <c r="N33" i="24"/>
  <c r="S227" i="24"/>
  <c r="R174" i="24"/>
  <c r="R73" i="24"/>
  <c r="L32" i="25"/>
  <c r="N38" i="25"/>
  <c r="T28" i="25"/>
  <c r="S63" i="24"/>
  <c r="S226" i="24"/>
  <c r="S87" i="24"/>
  <c r="S51" i="24"/>
  <c r="S71" i="24"/>
  <c r="T6" i="25"/>
  <c r="AD12" i="25"/>
  <c r="AG224" i="24"/>
  <c r="AC110" i="24"/>
  <c r="N25" i="24"/>
  <c r="AC25" i="24" s="1"/>
  <c r="S123" i="24"/>
  <c r="S195" i="24"/>
  <c r="S167" i="24"/>
  <c r="S61" i="24"/>
  <c r="AG254" i="24"/>
  <c r="AF254" i="24" s="1"/>
  <c r="R42" i="25"/>
  <c r="AF22" i="25"/>
  <c r="N12" i="25"/>
  <c r="L12" i="25"/>
  <c r="X12" i="25"/>
  <c r="R239" i="24"/>
  <c r="S214" i="24"/>
  <c r="S184" i="24"/>
  <c r="S31" i="24"/>
  <c r="S171" i="24"/>
  <c r="L26" i="25"/>
  <c r="S250" i="24"/>
  <c r="AD26" i="25"/>
  <c r="L40" i="25"/>
  <c r="X34" i="25"/>
  <c r="J38" i="25"/>
  <c r="AF28" i="25"/>
  <c r="AC170" i="24"/>
  <c r="AD170" i="24" s="1"/>
  <c r="S223" i="24"/>
  <c r="S89" i="24"/>
  <c r="R16" i="25"/>
  <c r="Z6" i="25"/>
  <c r="AD16" i="25"/>
  <c r="L42" i="25"/>
  <c r="P14" i="25"/>
  <c r="Z22" i="25"/>
  <c r="T20" i="25"/>
  <c r="AJ44" i="25"/>
  <c r="R12" i="25"/>
  <c r="S55" i="24"/>
  <c r="S224" i="24"/>
  <c r="N137" i="24"/>
  <c r="AG4" i="24"/>
  <c r="S154" i="24"/>
  <c r="AG16" i="24"/>
  <c r="AF16" i="24" s="1"/>
  <c r="S202" i="24"/>
  <c r="S43" i="24"/>
  <c r="S83" i="24"/>
  <c r="AD8" i="25"/>
  <c r="N14" i="25"/>
  <c r="S178" i="24"/>
  <c r="S169" i="24"/>
  <c r="S14" i="24"/>
  <c r="AJ40" i="25"/>
  <c r="AB30" i="25"/>
  <c r="P22" i="25"/>
  <c r="N22" i="25"/>
  <c r="AJ36" i="25"/>
  <c r="S189" i="24"/>
  <c r="S126" i="24"/>
  <c r="S13" i="24"/>
  <c r="AG123" i="24"/>
  <c r="AF123" i="24" s="1"/>
  <c r="Z20" i="25"/>
  <c r="AD32" i="25"/>
  <c r="AJ42" i="25"/>
  <c r="Z28" i="25"/>
  <c r="P30" i="25"/>
  <c r="S149" i="24"/>
  <c r="S261" i="24"/>
  <c r="S235" i="24"/>
  <c r="N30" i="25"/>
  <c r="AD36" i="25"/>
  <c r="R80" i="24"/>
  <c r="AG80" i="24" s="1"/>
  <c r="AF80" i="24" s="1"/>
  <c r="S91" i="24"/>
  <c r="S175" i="24"/>
  <c r="S213" i="24"/>
  <c r="S233" i="24"/>
  <c r="S30" i="24"/>
  <c r="S228" i="24"/>
  <c r="AF20" i="25"/>
  <c r="AL38" i="25"/>
  <c r="J14" i="25"/>
  <c r="L44" i="25"/>
  <c r="S139" i="24"/>
  <c r="R24" i="25"/>
  <c r="AH38" i="25"/>
  <c r="AD18" i="25"/>
  <c r="R8" i="25"/>
  <c r="AJ34" i="25"/>
  <c r="X36" i="25"/>
  <c r="AC38" i="24"/>
  <c r="AD38" i="24" s="1"/>
  <c r="AC98" i="24"/>
  <c r="AE98" i="24" s="1"/>
  <c r="AC99" i="24" s="1"/>
  <c r="R65" i="24"/>
  <c r="R24" i="24"/>
  <c r="R49" i="24"/>
  <c r="R111" i="24"/>
  <c r="S77" i="24"/>
  <c r="S188" i="24"/>
  <c r="N247" i="24"/>
  <c r="AC218" i="24"/>
  <c r="AD218" i="24" s="1"/>
  <c r="N217" i="24"/>
  <c r="S217" i="24"/>
  <c r="S216" i="24"/>
  <c r="N216" i="24"/>
  <c r="AJ6" i="25"/>
  <c r="AD14" i="25"/>
  <c r="L38" i="25"/>
  <c r="AJ30" i="25"/>
  <c r="R30" i="25"/>
  <c r="R14" i="25"/>
  <c r="AJ38" i="25"/>
  <c r="L22" i="25"/>
  <c r="X6" i="25"/>
  <c r="X38" i="25"/>
  <c r="L14" i="25"/>
  <c r="S15" i="24"/>
  <c r="X22" i="25"/>
  <c r="AJ14" i="25"/>
  <c r="R6" i="25"/>
  <c r="AD38" i="25"/>
  <c r="AD30" i="25"/>
  <c r="R22" i="25"/>
  <c r="R38" i="25"/>
  <c r="X14" i="25"/>
  <c r="AJ22" i="25"/>
  <c r="N15" i="24"/>
  <c r="AC15" i="24" s="1"/>
  <c r="L6" i="25"/>
  <c r="AD6" i="25"/>
  <c r="AD22" i="25"/>
  <c r="X30" i="25"/>
  <c r="AD14" i="26" a="1"/>
  <c r="S44" i="24"/>
  <c r="AL8" i="25"/>
  <c r="AL32" i="25"/>
  <c r="AF40" i="25"/>
  <c r="N24" i="25"/>
  <c r="T16" i="25"/>
  <c r="N8" i="25"/>
  <c r="N32" i="25"/>
  <c r="AL16" i="25"/>
  <c r="T8" i="25"/>
  <c r="T24" i="25"/>
  <c r="AL40" i="25"/>
  <c r="Z24" i="25"/>
  <c r="Z16" i="25"/>
  <c r="T32" i="25"/>
  <c r="AF32" i="25"/>
  <c r="AL24" i="25"/>
  <c r="AF24" i="25"/>
  <c r="Z8" i="25"/>
  <c r="N16" i="25"/>
  <c r="AF8" i="25"/>
  <c r="N40" i="25"/>
  <c r="Z32" i="25"/>
  <c r="AF16" i="25"/>
  <c r="T40" i="25"/>
  <c r="L30" i="25"/>
  <c r="Z40" i="25"/>
  <c r="R62" i="24"/>
  <c r="AG62" i="24" s="1"/>
  <c r="T10" i="25"/>
  <c r="T18" i="25"/>
  <c r="AL18" i="25"/>
  <c r="AL42" i="25"/>
  <c r="AF18" i="25"/>
  <c r="AL26" i="25"/>
  <c r="S62" i="24"/>
  <c r="N10" i="25"/>
  <c r="AF34" i="25"/>
  <c r="AF26" i="25"/>
  <c r="AF10" i="25"/>
  <c r="AF42" i="25"/>
  <c r="Z18" i="25"/>
  <c r="N42" i="25"/>
  <c r="AL10" i="25"/>
  <c r="T34" i="25"/>
  <c r="Z34" i="25"/>
  <c r="N34" i="25"/>
  <c r="N18" i="25"/>
  <c r="N26" i="25"/>
  <c r="AL34" i="25"/>
  <c r="AG15" i="24"/>
  <c r="Z44" i="25"/>
  <c r="T36" i="25"/>
  <c r="S80" i="24"/>
  <c r="AL28" i="25"/>
  <c r="Z12" i="25"/>
  <c r="T44" i="25"/>
  <c r="AL12" i="25"/>
  <c r="AL36" i="25"/>
  <c r="N36" i="25"/>
  <c r="AF44" i="25"/>
  <c r="N28" i="25"/>
  <c r="S47" i="24"/>
  <c r="J38" i="52" a="1"/>
  <c r="AC92" i="24"/>
  <c r="L18" i="25"/>
  <c r="AJ16" i="25"/>
  <c r="X16" i="25"/>
  <c r="X24" i="25"/>
  <c r="R38" i="24"/>
  <c r="AG38" i="24" s="1"/>
  <c r="X32" i="25"/>
  <c r="AJ32" i="25"/>
  <c r="R40" i="25"/>
  <c r="X40" i="25"/>
  <c r="J30" i="52" a="1"/>
  <c r="S39" i="24"/>
  <c r="R26" i="25"/>
  <c r="AD34" i="25"/>
  <c r="S155" i="24"/>
  <c r="N155" i="24"/>
  <c r="N101" i="24"/>
  <c r="S101" i="24"/>
  <c r="R56" i="24"/>
  <c r="AG56" i="24" s="1"/>
  <c r="AJ18" i="25"/>
  <c r="L34" i="25"/>
  <c r="AD42" i="25"/>
  <c r="X26" i="25"/>
  <c r="AJ10" i="25"/>
  <c r="S56" i="24"/>
  <c r="L10" i="25"/>
  <c r="X42" i="25"/>
  <c r="X18" i="25"/>
  <c r="N5" i="24"/>
  <c r="S5" i="24"/>
  <c r="S237" i="24"/>
  <c r="N237" i="24"/>
  <c r="R88" i="24"/>
  <c r="S88" i="24"/>
  <c r="S4" i="24"/>
  <c r="AH30" i="25"/>
  <c r="V14" i="25"/>
  <c r="J6" i="52" a="1"/>
  <c r="J6" i="25"/>
  <c r="P38" i="25"/>
  <c r="N4" i="24"/>
  <c r="AC4" i="24" s="1"/>
  <c r="AB6" i="25"/>
  <c r="AH14" i="25"/>
  <c r="J22" i="25"/>
  <c r="V22" i="25"/>
  <c r="AH6" i="25"/>
  <c r="V38" i="25"/>
  <c r="N257" i="24"/>
  <c r="S163" i="24"/>
  <c r="R163" i="24"/>
  <c r="S151" i="24"/>
  <c r="R151" i="24"/>
  <c r="R10" i="24"/>
  <c r="S10" i="24"/>
  <c r="S172" i="24"/>
  <c r="N222" i="24"/>
  <c r="S222" i="24"/>
  <c r="S236" i="24"/>
  <c r="N236" i="24"/>
  <c r="AC236" i="24" s="1"/>
  <c r="R218" i="24"/>
  <c r="AG218" i="24" s="1"/>
  <c r="AF218" i="24" s="1"/>
  <c r="S218" i="24"/>
  <c r="S204" i="24"/>
  <c r="R204" i="24"/>
  <c r="R181" i="24"/>
  <c r="S181" i="24"/>
  <c r="S245" i="24"/>
  <c r="S102" i="24"/>
  <c r="R102" i="24"/>
  <c r="N59" i="24"/>
  <c r="S59" i="24"/>
  <c r="N80" i="24"/>
  <c r="AC80" i="24" s="1"/>
  <c r="AL44" i="25"/>
  <c r="AL20" i="25"/>
  <c r="N44" i="25"/>
  <c r="N20" i="25"/>
  <c r="Z36" i="25"/>
  <c r="N94" i="24"/>
  <c r="S94" i="24"/>
  <c r="S196" i="24"/>
  <c r="N196" i="24"/>
  <c r="R32" i="24"/>
  <c r="AG32" i="24" s="1"/>
  <c r="S32" i="24"/>
  <c r="AB16" i="25"/>
  <c r="AH40" i="25"/>
  <c r="P40" i="25"/>
  <c r="P24" i="25"/>
  <c r="S46" i="24"/>
  <c r="N46" i="24"/>
  <c r="N62" i="24"/>
  <c r="AC62" i="24" s="1"/>
  <c r="T26" i="25"/>
  <c r="AC194" i="24"/>
  <c r="S36" i="24"/>
  <c r="R36" i="24"/>
  <c r="S8" i="24"/>
  <c r="AC248" i="24"/>
  <c r="S165" i="24"/>
  <c r="N165" i="24"/>
  <c r="S125" i="24"/>
  <c r="S205" i="24"/>
  <c r="N205" i="24"/>
  <c r="R70" i="24"/>
  <c r="S70" i="24"/>
  <c r="N177" i="24"/>
  <c r="S67" i="24"/>
  <c r="N67" i="24"/>
  <c r="N122" i="24"/>
  <c r="AC122" i="24" s="1"/>
  <c r="S122" i="24"/>
  <c r="S25" i="24"/>
  <c r="T30" i="25"/>
  <c r="S176" i="24"/>
  <c r="N176" i="24"/>
  <c r="AC176" i="24" s="1"/>
  <c r="R103" i="24"/>
  <c r="S103" i="24"/>
  <c r="N41" i="24"/>
  <c r="S41" i="24"/>
  <c r="N100" i="24"/>
  <c r="S100" i="24"/>
  <c r="S256" i="24"/>
  <c r="N256" i="24"/>
  <c r="AC134" i="24"/>
  <c r="S182" i="24"/>
  <c r="S85" i="24"/>
  <c r="N40" i="24"/>
  <c r="S40" i="24"/>
  <c r="S78" i="24"/>
  <c r="N78" i="24"/>
  <c r="S215" i="24"/>
  <c r="N187" i="24"/>
  <c r="R241" i="24"/>
  <c r="S241" i="24"/>
  <c r="S124" i="24"/>
  <c r="R124" i="24"/>
  <c r="N227" i="24"/>
  <c r="S146" i="24"/>
  <c r="N146" i="24"/>
  <c r="AC146" i="24" s="1"/>
  <c r="N132" i="24"/>
  <c r="S132" i="24"/>
  <c r="S50" i="24"/>
  <c r="R50" i="24"/>
  <c r="V18" i="25"/>
  <c r="R18" i="24"/>
  <c r="S18" i="24"/>
  <c r="N186" i="24"/>
  <c r="S186" i="24"/>
  <c r="R29" i="24"/>
  <c r="S29" i="24"/>
  <c r="R190" i="24"/>
  <c r="S190" i="24"/>
  <c r="AC212" i="24"/>
  <c r="S60" i="24"/>
  <c r="S168" i="24"/>
  <c r="R168" i="24"/>
  <c r="J24" i="25"/>
  <c r="P32" i="25"/>
  <c r="AB40" i="25"/>
  <c r="AB26" i="25"/>
  <c r="Z10" i="25"/>
  <c r="AB32" i="25"/>
  <c r="AF38" i="25"/>
  <c r="R98" i="24"/>
  <c r="AG98" i="24" s="1"/>
  <c r="N75" i="24"/>
  <c r="S75" i="24"/>
  <c r="S84" i="24"/>
  <c r="N84" i="24"/>
  <c r="N252" i="24"/>
  <c r="S252" i="24"/>
  <c r="N225" i="24"/>
  <c r="S27" i="24"/>
  <c r="R27" i="24"/>
  <c r="R9" i="24"/>
  <c r="S9" i="24"/>
  <c r="N74" i="24"/>
  <c r="AC74" i="24" s="1"/>
  <c r="S74" i="24"/>
  <c r="X20" i="25"/>
  <c r="AJ20" i="25"/>
  <c r="N83" i="24"/>
  <c r="N197" i="24"/>
  <c r="S157" i="24"/>
  <c r="R76" i="24"/>
  <c r="S76" i="24"/>
  <c r="R238" i="24"/>
  <c r="S238" i="24"/>
  <c r="S254" i="24"/>
  <c r="S156" i="24"/>
  <c r="N156" i="24"/>
  <c r="S142" i="24"/>
  <c r="N142" i="24"/>
  <c r="AC116" i="24"/>
  <c r="AG242" i="24"/>
  <c r="AC242" i="24"/>
  <c r="R198" i="24"/>
  <c r="S198" i="24"/>
  <c r="S130" i="24"/>
  <c r="R130" i="24"/>
  <c r="S20" i="24"/>
  <c r="S19" i="24"/>
  <c r="S160" i="24"/>
  <c r="R160" i="24"/>
  <c r="S23" i="24"/>
  <c r="R23" i="24"/>
  <c r="S110" i="24"/>
  <c r="R110" i="24"/>
  <c r="AG110" i="24" s="1"/>
  <c r="S17" i="24"/>
  <c r="N17" i="24"/>
  <c r="S22" i="24"/>
  <c r="R22" i="24"/>
  <c r="R109" i="24"/>
  <c r="S109" i="24"/>
  <c r="S16" i="24"/>
  <c r="N16" i="24"/>
  <c r="S68" i="24"/>
  <c r="N68" i="24"/>
  <c r="AC68" i="24" s="1"/>
  <c r="N90" i="24"/>
  <c r="S90" i="24"/>
  <c r="S246" i="24"/>
  <c r="N246" i="24"/>
  <c r="N232" i="24"/>
  <c r="S232" i="24"/>
  <c r="S206" i="24"/>
  <c r="N206" i="24"/>
  <c r="AC206" i="24" s="1"/>
  <c r="N192" i="24"/>
  <c r="S192" i="24"/>
  <c r="S152" i="24"/>
  <c r="N152" i="24"/>
  <c r="AC152" i="24" s="1"/>
  <c r="N112" i="24"/>
  <c r="S112" i="24"/>
  <c r="AC86" i="24"/>
  <c r="R92" i="24"/>
  <c r="AG92" i="24" s="1"/>
  <c r="S92" i="24"/>
  <c r="S72" i="24"/>
  <c r="R72" i="24"/>
  <c r="R58" i="24"/>
  <c r="N21" i="24"/>
  <c r="R171" i="24"/>
  <c r="R89" i="24"/>
  <c r="S253" i="24"/>
  <c r="S143" i="24"/>
  <c r="R71" i="24"/>
  <c r="S183" i="24"/>
  <c r="S203" i="24"/>
  <c r="N243" i="24"/>
  <c r="N233" i="24"/>
  <c r="N223" i="24"/>
  <c r="N113" i="24"/>
  <c r="R169" i="24"/>
  <c r="R86" i="24"/>
  <c r="AG86" i="24" s="1"/>
  <c r="R251" i="24"/>
  <c r="S244" i="24"/>
  <c r="AG206" i="24"/>
  <c r="AF206" i="24" s="1"/>
  <c r="R129" i="24"/>
  <c r="AO56" i="55" l="1"/>
  <c r="AQ56" i="55" s="1"/>
  <c r="AR56" i="55" s="1"/>
  <c r="AO40" i="55"/>
  <c r="AQ40" i="55" s="1"/>
  <c r="AR40" i="55" s="1"/>
  <c r="AU40" i="55" s="1"/>
  <c r="AV36" i="55"/>
  <c r="AP4" i="55"/>
  <c r="AO12" i="55"/>
  <c r="AQ12" i="55" s="1"/>
  <c r="AR12" i="55" s="1"/>
  <c r="AO18" i="55"/>
  <c r="AQ18" i="55" s="1"/>
  <c r="AR18" i="55" s="1"/>
  <c r="AV18" i="55" s="1"/>
  <c r="AO44" i="55"/>
  <c r="AQ44" i="55" s="1"/>
  <c r="AR44" i="55" s="1"/>
  <c r="AV30" i="55"/>
  <c r="AU16" i="55"/>
  <c r="AW16" i="55" s="1"/>
  <c r="AU4" i="55"/>
  <c r="AO58" i="55"/>
  <c r="AQ58" i="55" s="1"/>
  <c r="AR58" i="55" s="1"/>
  <c r="AU58" i="55" s="1"/>
  <c r="AO54" i="55"/>
  <c r="AQ54" i="55" s="1"/>
  <c r="AR54" i="55" s="1"/>
  <c r="AU54" i="55" s="1"/>
  <c r="AP14" i="55"/>
  <c r="AO8" i="55"/>
  <c r="AQ8" i="55" s="1"/>
  <c r="AR8" i="55" s="1"/>
  <c r="AU8" i="55" s="1"/>
  <c r="AO10" i="55"/>
  <c r="AQ10" i="55" s="1"/>
  <c r="AR10" i="55" s="1"/>
  <c r="AV10" i="55" s="1"/>
  <c r="AO48" i="55"/>
  <c r="AQ48" i="55" s="1"/>
  <c r="AR48" i="55" s="1"/>
  <c r="AV48" i="55" s="1"/>
  <c r="AP20" i="55"/>
  <c r="AO42" i="55"/>
  <c r="AQ42" i="55" s="1"/>
  <c r="AR42" i="55" s="1"/>
  <c r="AV42" i="55" s="1"/>
  <c r="AP46" i="55"/>
  <c r="AP26" i="55"/>
  <c r="AO32" i="55"/>
  <c r="AQ32" i="55" s="1"/>
  <c r="AR32" i="55" s="1"/>
  <c r="AU32" i="55" s="1"/>
  <c r="AP16" i="55"/>
  <c r="AP36" i="55"/>
  <c r="AW30" i="55"/>
  <c r="AO38" i="55"/>
  <c r="AQ38" i="55" s="1"/>
  <c r="AR38" i="55" s="1"/>
  <c r="AV38" i="55" s="1"/>
  <c r="AO21" i="55"/>
  <c r="AQ21" i="55" s="1"/>
  <c r="AR21" i="55" s="1"/>
  <c r="AV21" i="55" s="1"/>
  <c r="AP21" i="55"/>
  <c r="AO29" i="55"/>
  <c r="AQ29" i="55" s="1"/>
  <c r="AR29" i="55" s="1"/>
  <c r="AU29" i="55" s="1"/>
  <c r="AP29" i="55"/>
  <c r="AF12" i="54"/>
  <c r="AJ12" i="54" s="1"/>
  <c r="AG12" i="54"/>
  <c r="AE13" i="54" s="1"/>
  <c r="AF13" i="54" s="1"/>
  <c r="AI11" i="54"/>
  <c r="AH11" i="54" s="1"/>
  <c r="AH4" i="54"/>
  <c r="AJ4" i="54" s="1"/>
  <c r="AJ10" i="54"/>
  <c r="AO28" i="55"/>
  <c r="AQ28" i="55" s="1"/>
  <c r="AR28" i="55" s="1"/>
  <c r="AV28" i="55" s="1"/>
  <c r="AP28" i="55"/>
  <c r="AP7" i="55"/>
  <c r="AO7" i="55"/>
  <c r="AQ7" i="55" s="1"/>
  <c r="AR7" i="55" s="1"/>
  <c r="AV7" i="55" s="1"/>
  <c r="AP11" i="55"/>
  <c r="AO11" i="55"/>
  <c r="AQ11" i="55" s="1"/>
  <c r="AR11" i="55" s="1"/>
  <c r="AU11" i="55" s="1"/>
  <c r="AO15" i="55"/>
  <c r="AQ15" i="55" s="1"/>
  <c r="AR15" i="55" s="1"/>
  <c r="AV15" i="55" s="1"/>
  <c r="AP15" i="55"/>
  <c r="AP23" i="55"/>
  <c r="AO23" i="55"/>
  <c r="AQ23" i="55" s="1"/>
  <c r="AR23" i="55" s="1"/>
  <c r="AO31" i="55"/>
  <c r="AQ31" i="55" s="1"/>
  <c r="AR31" i="55" s="1"/>
  <c r="AV31" i="55" s="1"/>
  <c r="AP31" i="55"/>
  <c r="AO33" i="55"/>
  <c r="AQ33" i="55" s="1"/>
  <c r="AR33" i="55" s="1"/>
  <c r="AP33" i="55"/>
  <c r="AO41" i="55"/>
  <c r="AQ41" i="55" s="1"/>
  <c r="AR41" i="55" s="1"/>
  <c r="AU41" i="55" s="1"/>
  <c r="AP41" i="55"/>
  <c r="AP45" i="55"/>
  <c r="AO45" i="55"/>
  <c r="AQ45" i="55" s="1"/>
  <c r="AR45" i="55" s="1"/>
  <c r="AU45" i="55" s="1"/>
  <c r="AP47" i="55"/>
  <c r="AO47" i="55"/>
  <c r="AQ47" i="55" s="1"/>
  <c r="AR47" i="55" s="1"/>
  <c r="AU47" i="55" s="1"/>
  <c r="AO9" i="55"/>
  <c r="AQ9" i="55" s="1"/>
  <c r="AR9" i="55" s="1"/>
  <c r="AU9" i="55" s="1"/>
  <c r="AP9" i="55"/>
  <c r="AP17" i="55"/>
  <c r="AO17" i="55"/>
  <c r="AQ17" i="55" s="1"/>
  <c r="AR17" i="55" s="1"/>
  <c r="AW4" i="55"/>
  <c r="AU7" i="55"/>
  <c r="AW7" i="55" s="1"/>
  <c r="AO57" i="55"/>
  <c r="AQ57" i="55" s="1"/>
  <c r="AR57" i="55" s="1"/>
  <c r="AO55" i="55"/>
  <c r="AQ55" i="55" s="1"/>
  <c r="AR55" i="55" s="1"/>
  <c r="AP59" i="55"/>
  <c r="AU48" i="55"/>
  <c r="AW48" i="55" s="1"/>
  <c r="AO53" i="55"/>
  <c r="AQ53" i="55" s="1"/>
  <c r="AR53" i="55" s="1"/>
  <c r="AP51" i="55"/>
  <c r="AU59" i="55"/>
  <c r="AW59" i="55" s="1"/>
  <c r="AO19" i="55"/>
  <c r="AQ19" i="55" s="1"/>
  <c r="AR19" i="55" s="1"/>
  <c r="AU19" i="55" s="1"/>
  <c r="AP37" i="55"/>
  <c r="AO35" i="55"/>
  <c r="AQ35" i="55" s="1"/>
  <c r="AR35" i="55" s="1"/>
  <c r="AU35" i="55" s="1"/>
  <c r="AP39" i="55"/>
  <c r="AO25" i="55"/>
  <c r="AQ25" i="55" s="1"/>
  <c r="AR25" i="55" s="1"/>
  <c r="AV25" i="55" s="1"/>
  <c r="AO13" i="55"/>
  <c r="AQ13" i="55" s="1"/>
  <c r="AR13" i="55" s="1"/>
  <c r="AU13" i="55" s="1"/>
  <c r="AU39" i="55"/>
  <c r="AW39" i="55" s="1"/>
  <c r="AP5" i="55"/>
  <c r="AP49" i="55"/>
  <c r="AO43" i="55"/>
  <c r="AQ43" i="55" s="1"/>
  <c r="AR43" i="55" s="1"/>
  <c r="AV43" i="55" s="1"/>
  <c r="AO27" i="55"/>
  <c r="AQ27" i="55" s="1"/>
  <c r="AR27" i="55" s="1"/>
  <c r="AV27" i="55" s="1"/>
  <c r="AP3" i="55"/>
  <c r="AO3" i="55"/>
  <c r="AQ3" i="55" s="1"/>
  <c r="AR3" i="55" s="1"/>
  <c r="AV14" i="55"/>
  <c r="AU14" i="55"/>
  <c r="AW14" i="55" s="1"/>
  <c r="AV50" i="55"/>
  <c r="AU50" i="55"/>
  <c r="AU22" i="55"/>
  <c r="AV22" i="55"/>
  <c r="AU6" i="55"/>
  <c r="AV6" i="55"/>
  <c r="AV20" i="55"/>
  <c r="AU20" i="55"/>
  <c r="AV34" i="55"/>
  <c r="AU34" i="55"/>
  <c r="AV12" i="55"/>
  <c r="AU12" i="55"/>
  <c r="AV41" i="55"/>
  <c r="AV44" i="55"/>
  <c r="AU44" i="55"/>
  <c r="AV49" i="55"/>
  <c r="AU49" i="55"/>
  <c r="AU37" i="55"/>
  <c r="AV37" i="55"/>
  <c r="AV58" i="55"/>
  <c r="AV24" i="55"/>
  <c r="AU24" i="55"/>
  <c r="AU5" i="55"/>
  <c r="AV5" i="55"/>
  <c r="AV26" i="55"/>
  <c r="AU26" i="55"/>
  <c r="AW36" i="55"/>
  <c r="AV46" i="55"/>
  <c r="AU46" i="55"/>
  <c r="AW46" i="55" s="1"/>
  <c r="AU56" i="55"/>
  <c r="AV56" i="55"/>
  <c r="AV51" i="55"/>
  <c r="AU51" i="55"/>
  <c r="AV52" i="55"/>
  <c r="AU52" i="55"/>
  <c r="AG129" i="24"/>
  <c r="AF129" i="24" s="1"/>
  <c r="AF11" i="54"/>
  <c r="AG11" i="54"/>
  <c r="AI6" i="54"/>
  <c r="AF5" i="54"/>
  <c r="AJ5" i="54" s="1"/>
  <c r="AG5" i="54"/>
  <c r="AE6" i="54" s="1"/>
  <c r="AD230" i="24"/>
  <c r="AH230" i="24" s="1"/>
  <c r="AG147" i="24"/>
  <c r="AG148" i="24" s="1"/>
  <c r="AF68" i="24"/>
  <c r="AE200" i="24"/>
  <c r="AC201" i="24" s="1"/>
  <c r="AD201" i="24" s="1"/>
  <c r="AD140" i="24"/>
  <c r="AH140" i="24" s="1"/>
  <c r="AE140" i="24"/>
  <c r="AC141" i="24" s="1"/>
  <c r="AD141" i="24" s="1"/>
  <c r="AE182" i="24"/>
  <c r="AC183" i="24" s="1"/>
  <c r="AD183" i="24" s="1"/>
  <c r="AE128" i="24"/>
  <c r="AC129" i="24" s="1"/>
  <c r="AD129" i="24" s="1"/>
  <c r="AD50" i="24"/>
  <c r="AG243" i="24"/>
  <c r="AG244" i="24" s="1"/>
  <c r="AF244" i="24" s="1"/>
  <c r="AG141" i="24"/>
  <c r="AF141" i="24" s="1"/>
  <c r="AF176" i="24"/>
  <c r="AH260" i="24"/>
  <c r="AG237" i="24"/>
  <c r="AG238" i="24" s="1"/>
  <c r="AG195" i="24"/>
  <c r="AF195" i="24" s="1"/>
  <c r="AD224" i="24"/>
  <c r="AF25" i="24"/>
  <c r="AG33" i="24"/>
  <c r="AF33" i="24" s="1"/>
  <c r="AC39" i="26" s="1"/>
  <c r="AD56" i="24"/>
  <c r="AG177" i="24"/>
  <c r="AF177" i="24" s="1"/>
  <c r="AH182" i="24"/>
  <c r="AG82" i="24"/>
  <c r="AG83" i="24" s="1"/>
  <c r="AF81" i="24"/>
  <c r="AG225" i="24"/>
  <c r="AF225" i="24" s="1"/>
  <c r="AG189" i="24"/>
  <c r="AG190" i="24" s="1"/>
  <c r="AF74" i="24"/>
  <c r="AE218" i="24"/>
  <c r="AC219" i="24" s="1"/>
  <c r="AE219" i="24" s="1"/>
  <c r="AC220" i="24" s="1"/>
  <c r="AH188" i="24"/>
  <c r="AD164" i="24"/>
  <c r="AE260" i="24"/>
  <c r="AC261" i="24" s="1"/>
  <c r="AE261" i="24" s="1"/>
  <c r="AG201" i="24"/>
  <c r="AF201" i="24" s="1"/>
  <c r="AG261" i="24"/>
  <c r="AF261" i="24" s="1"/>
  <c r="AG153" i="24"/>
  <c r="AF153" i="24" s="1"/>
  <c r="AG17" i="24"/>
  <c r="AF17" i="24" s="1"/>
  <c r="AG159" i="24"/>
  <c r="AE57" i="24"/>
  <c r="AC58" i="24" s="1"/>
  <c r="AE58" i="24" s="1"/>
  <c r="AC59" i="24" s="1"/>
  <c r="AD57" i="24"/>
  <c r="AF158" i="24"/>
  <c r="AG165" i="24"/>
  <c r="AG166" i="24" s="1"/>
  <c r="AF219" i="24"/>
  <c r="AD254" i="24"/>
  <c r="AH254" i="24" s="1"/>
  <c r="AE254" i="24"/>
  <c r="AC255" i="24" s="1"/>
  <c r="AD32" i="24"/>
  <c r="AE104" i="24"/>
  <c r="AC105" i="24" s="1"/>
  <c r="AE105" i="24" s="1"/>
  <c r="AC106" i="24" s="1"/>
  <c r="AG51" i="24"/>
  <c r="AF51" i="24" s="1"/>
  <c r="AD98" i="24"/>
  <c r="AE38" i="24"/>
  <c r="AC39" i="24" s="1"/>
  <c r="AD39" i="24" s="1"/>
  <c r="AH170" i="24"/>
  <c r="AE25" i="24"/>
  <c r="AC26" i="24" s="1"/>
  <c r="AD26" i="24" s="1"/>
  <c r="AD25" i="24"/>
  <c r="AF128" i="24"/>
  <c r="AH128" i="24" s="1"/>
  <c r="AF4" i="24"/>
  <c r="AG5" i="24"/>
  <c r="AF5" i="24" s="1"/>
  <c r="AG6" i="24"/>
  <c r="AD110" i="24"/>
  <c r="AE110" i="24"/>
  <c r="AC111" i="24" s="1"/>
  <c r="AG124" i="24"/>
  <c r="AG207" i="24"/>
  <c r="AF200" i="24"/>
  <c r="AH200" i="24" s="1"/>
  <c r="AD165" i="24"/>
  <c r="AE33" i="24"/>
  <c r="AC34" i="24" s="1"/>
  <c r="AE34" i="24" s="1"/>
  <c r="AC35" i="24" s="1"/>
  <c r="AG231" i="24"/>
  <c r="AF224" i="24"/>
  <c r="AD158" i="24"/>
  <c r="AE158" i="24"/>
  <c r="AC159" i="24" s="1"/>
  <c r="AF248" i="24"/>
  <c r="AG255" i="24"/>
  <c r="AE170" i="24"/>
  <c r="AC171" i="24" s="1"/>
  <c r="AE171" i="24" s="1"/>
  <c r="AC172" i="24" s="1"/>
  <c r="AG76" i="24"/>
  <c r="AF75" i="24"/>
  <c r="AD44" i="24"/>
  <c r="J51" i="26" s="1"/>
  <c r="AE44" i="24"/>
  <c r="AC45" i="24" s="1"/>
  <c r="AE188" i="24"/>
  <c r="AC189" i="24" s="1"/>
  <c r="AD189" i="24" s="1"/>
  <c r="AF86" i="24"/>
  <c r="AG93" i="24"/>
  <c r="AD80" i="24"/>
  <c r="AH80" i="24" s="1"/>
  <c r="AE80" i="24"/>
  <c r="AC81" i="24" s="1"/>
  <c r="AF242" i="24"/>
  <c r="AG249" i="24"/>
  <c r="AG18" i="24"/>
  <c r="AF18" i="24" s="1"/>
  <c r="AC18" i="24"/>
  <c r="AE166" i="24"/>
  <c r="AC167" i="24" s="1"/>
  <c r="AD166" i="24"/>
  <c r="AE134" i="24"/>
  <c r="AC135" i="24" s="1"/>
  <c r="AD134" i="24"/>
  <c r="AH134" i="24" s="1"/>
  <c r="AF56" i="24"/>
  <c r="AG63" i="24"/>
  <c r="AF15" i="24"/>
  <c r="AG26" i="24"/>
  <c r="AF26" i="24" s="1"/>
  <c r="AD176" i="24"/>
  <c r="AE176" i="24"/>
  <c r="AC177" i="24" s="1"/>
  <c r="AF32" i="24"/>
  <c r="AG39" i="24"/>
  <c r="AG50" i="24"/>
  <c r="AG87" i="24"/>
  <c r="AD122" i="24"/>
  <c r="AH122" i="24" s="1"/>
  <c r="AE122" i="24"/>
  <c r="AC123" i="24" s="1"/>
  <c r="AF92" i="24"/>
  <c r="AG99" i="24"/>
  <c r="AF110" i="24"/>
  <c r="AG117" i="24"/>
  <c r="AG221" i="24"/>
  <c r="AF220" i="24"/>
  <c r="AE68" i="24"/>
  <c r="AC69" i="24" s="1"/>
  <c r="AD68" i="24"/>
  <c r="AF183" i="24"/>
  <c r="AG184" i="24"/>
  <c r="AE51" i="24"/>
  <c r="AC52" i="24" s="1"/>
  <c r="AD51" i="24"/>
  <c r="AD15" i="24"/>
  <c r="AE15" i="24"/>
  <c r="AF98" i="24"/>
  <c r="AG105" i="24"/>
  <c r="AG45" i="24"/>
  <c r="AF38" i="24"/>
  <c r="AD242" i="24"/>
  <c r="AE242" i="24"/>
  <c r="AC243" i="24" s="1"/>
  <c r="AE74" i="24"/>
  <c r="AC75" i="24" s="1"/>
  <c r="AD74" i="24"/>
  <c r="AD231" i="24"/>
  <c r="AE231" i="24"/>
  <c r="AC232" i="24" s="1"/>
  <c r="AE86" i="24"/>
  <c r="AD86" i="24"/>
  <c r="AE248" i="24"/>
  <c r="AC249" i="24" s="1"/>
  <c r="AD248" i="24"/>
  <c r="AE62" i="24"/>
  <c r="AC63" i="24" s="1"/>
  <c r="AD62" i="24"/>
  <c r="AG9" i="24"/>
  <c r="AC9" i="24"/>
  <c r="AF104" i="24"/>
  <c r="AH104" i="24" s="1"/>
  <c r="AG111" i="24"/>
  <c r="AG213" i="24"/>
  <c r="AE212" i="24"/>
  <c r="AC213" i="24" s="1"/>
  <c r="AD212" i="24"/>
  <c r="AH212" i="24" s="1"/>
  <c r="AD152" i="24"/>
  <c r="AH152" i="24" s="1"/>
  <c r="AE152" i="24"/>
  <c r="AC153" i="24" s="1"/>
  <c r="AG171" i="24"/>
  <c r="AF164" i="24"/>
  <c r="AD236" i="24"/>
  <c r="AH236" i="24" s="1"/>
  <c r="AE236" i="24"/>
  <c r="AC237" i="24" s="1"/>
  <c r="AD116" i="24"/>
  <c r="AH116" i="24" s="1"/>
  <c r="AE116" i="24"/>
  <c r="AC117" i="24" s="1"/>
  <c r="AE225" i="24"/>
  <c r="AC226" i="24" s="1"/>
  <c r="AD225" i="24"/>
  <c r="AG69" i="24"/>
  <c r="AF62" i="24"/>
  <c r="AE206" i="24"/>
  <c r="AC207" i="24" s="1"/>
  <c r="AD206" i="24"/>
  <c r="AH206" i="24" s="1"/>
  <c r="AE146" i="24"/>
  <c r="AC147" i="24" s="1"/>
  <c r="AD146" i="24"/>
  <c r="AH146" i="24" s="1"/>
  <c r="AD194" i="24"/>
  <c r="AH194" i="24" s="1"/>
  <c r="AE194" i="24"/>
  <c r="AC195" i="24" s="1"/>
  <c r="AD4" i="24"/>
  <c r="AE4" i="24"/>
  <c r="AC5" i="24" s="1"/>
  <c r="AD92" i="24"/>
  <c r="AE92" i="24"/>
  <c r="AC93" i="24" s="1"/>
  <c r="AG136" i="24"/>
  <c r="AF135" i="24"/>
  <c r="AH218" i="24"/>
  <c r="AE99" i="24"/>
  <c r="AC100" i="24" s="1"/>
  <c r="AD99" i="24"/>
  <c r="AV40" i="55" l="1"/>
  <c r="AV54" i="55"/>
  <c r="AV8" i="55"/>
  <c r="AW8" i="55" s="1"/>
  <c r="AV45" i="55"/>
  <c r="AU21" i="55"/>
  <c r="AW21" i="55" s="1"/>
  <c r="AV32" i="55"/>
  <c r="AW32" i="55" s="1"/>
  <c r="AU10" i="55"/>
  <c r="AW10" i="55" s="1"/>
  <c r="AU42" i="55"/>
  <c r="AW42" i="55" s="1"/>
  <c r="AU31" i="55"/>
  <c r="AU18" i="55"/>
  <c r="AW18" i="55" s="1"/>
  <c r="AV11" i="55"/>
  <c r="AW11" i="55" s="1"/>
  <c r="AV29" i="55"/>
  <c r="AG13" i="54"/>
  <c r="AE14" i="54" s="1"/>
  <c r="AJ11" i="54"/>
  <c r="AW31" i="55"/>
  <c r="AU28" i="55"/>
  <c r="AW28" i="55" s="1"/>
  <c r="AV9" i="55"/>
  <c r="AW9" i="55" s="1"/>
  <c r="AU38" i="55"/>
  <c r="AW38" i="55" s="1"/>
  <c r="AU15" i="55"/>
  <c r="AW15" i="55" s="1"/>
  <c r="AW20" i="55"/>
  <c r="AV47" i="55"/>
  <c r="AW47" i="55" s="1"/>
  <c r="AW34" i="55"/>
  <c r="AW44" i="55"/>
  <c r="AU53" i="55"/>
  <c r="AV53" i="55"/>
  <c r="AW58" i="55"/>
  <c r="AV23" i="55"/>
  <c r="AU23" i="55"/>
  <c r="AV33" i="55"/>
  <c r="AU33" i="55"/>
  <c r="AW33" i="55" s="1"/>
  <c r="AV17" i="55"/>
  <c r="AU17" i="55"/>
  <c r="AU57" i="55"/>
  <c r="AV57" i="55"/>
  <c r="AV55" i="55"/>
  <c r="AU55" i="55"/>
  <c r="AW55" i="55" s="1"/>
  <c r="AW24" i="55"/>
  <c r="AW40" i="55"/>
  <c r="AW49" i="55"/>
  <c r="AV13" i="55"/>
  <c r="AW13" i="55" s="1"/>
  <c r="AV19" i="55"/>
  <c r="AW19" i="55" s="1"/>
  <c r="AU25" i="55"/>
  <c r="AW25" i="55" s="1"/>
  <c r="AW52" i="55"/>
  <c r="AW51" i="55"/>
  <c r="AW12" i="55"/>
  <c r="AW45" i="55"/>
  <c r="AU27" i="55"/>
  <c r="AV35" i="55"/>
  <c r="AW35" i="55" s="1"/>
  <c r="AU43" i="55"/>
  <c r="AW43" i="55" s="1"/>
  <c r="AW37" i="55"/>
  <c r="AV3" i="55"/>
  <c r="AU3" i="55"/>
  <c r="AW22" i="55"/>
  <c r="AW50" i="55"/>
  <c r="AW29" i="55"/>
  <c r="AW6" i="55"/>
  <c r="AW54" i="55"/>
  <c r="AW5" i="55"/>
  <c r="AW41" i="55"/>
  <c r="AW56" i="55"/>
  <c r="AG130" i="24"/>
  <c r="AG131" i="24" s="1"/>
  <c r="AG14" i="54"/>
  <c r="AE15" i="54" s="1"/>
  <c r="AF14" i="54"/>
  <c r="AF6" i="54"/>
  <c r="AG6" i="54"/>
  <c r="AE7" i="54" s="1"/>
  <c r="AI7" i="54"/>
  <c r="AH6" i="54"/>
  <c r="AI13" i="54"/>
  <c r="AF147" i="24"/>
  <c r="AH183" i="24"/>
  <c r="AE201" i="24"/>
  <c r="AC202" i="24" s="1"/>
  <c r="AD202" i="24" s="1"/>
  <c r="AG245" i="24"/>
  <c r="AG246" i="24" s="1"/>
  <c r="AF243" i="24"/>
  <c r="AE183" i="24"/>
  <c r="AC184" i="24" s="1"/>
  <c r="AD184" i="24" s="1"/>
  <c r="K39" i="26"/>
  <c r="AE141" i="24"/>
  <c r="AC142" i="24" s="1"/>
  <c r="AD142" i="24" s="1"/>
  <c r="AE129" i="24"/>
  <c r="AC130" i="24" s="1"/>
  <c r="AE130" i="24" s="1"/>
  <c r="AC131" i="24" s="1"/>
  <c r="AF237" i="24"/>
  <c r="AH176" i="24"/>
  <c r="K49" i="26"/>
  <c r="Q9" i="26"/>
  <c r="AG178" i="24"/>
  <c r="AF178" i="24" s="1"/>
  <c r="AI29" i="26"/>
  <c r="AI19" i="26"/>
  <c r="Q49" i="26"/>
  <c r="W9" i="26"/>
  <c r="AC49" i="26"/>
  <c r="AC29" i="26"/>
  <c r="W49" i="26"/>
  <c r="AI9" i="26"/>
  <c r="AI49" i="26"/>
  <c r="AI39" i="26"/>
  <c r="Q19" i="26"/>
  <c r="AF82" i="24"/>
  <c r="AF165" i="24"/>
  <c r="AH165" i="24" s="1"/>
  <c r="W39" i="26"/>
  <c r="AG34" i="24"/>
  <c r="AF34" i="24" s="1"/>
  <c r="Q39" i="26"/>
  <c r="AH224" i="24"/>
  <c r="K19" i="26"/>
  <c r="AF189" i="24"/>
  <c r="AH189" i="24" s="1"/>
  <c r="AH141" i="24"/>
  <c r="AH74" i="24"/>
  <c r="AG226" i="24"/>
  <c r="AF226" i="24" s="1"/>
  <c r="AG196" i="24"/>
  <c r="AG197" i="24" s="1"/>
  <c r="AG142" i="24"/>
  <c r="AF142" i="24" s="1"/>
  <c r="W19" i="26"/>
  <c r="K9" i="26"/>
  <c r="AD58" i="24"/>
  <c r="AC19" i="26"/>
  <c r="K29" i="26"/>
  <c r="AD219" i="24"/>
  <c r="AH219" i="24" s="1"/>
  <c r="Q29" i="26"/>
  <c r="W29" i="26"/>
  <c r="AC9" i="26"/>
  <c r="AH33" i="24"/>
  <c r="AH8" i="26"/>
  <c r="AG154" i="24"/>
  <c r="AF154" i="24" s="1"/>
  <c r="AD261" i="24"/>
  <c r="AH261" i="24" s="1"/>
  <c r="AH164" i="24"/>
  <c r="AH25" i="24"/>
  <c r="J28" i="26"/>
  <c r="AB18" i="26"/>
  <c r="P38" i="26"/>
  <c r="AH38" i="26"/>
  <c r="AG22" i="24"/>
  <c r="AG23" i="24" s="1"/>
  <c r="AH201" i="24"/>
  <c r="AG202" i="24"/>
  <c r="AF202" i="24" s="1"/>
  <c r="AH158" i="24"/>
  <c r="AG52" i="24"/>
  <c r="AF52" i="24" s="1"/>
  <c r="AG160" i="24"/>
  <c r="AF159" i="24"/>
  <c r="V51" i="26"/>
  <c r="AH110" i="24"/>
  <c r="AB11" i="26"/>
  <c r="V41" i="26"/>
  <c r="J38" i="26"/>
  <c r="V48" i="26"/>
  <c r="AB48" i="26"/>
  <c r="AD171" i="24"/>
  <c r="AE39" i="24"/>
  <c r="AC40" i="24" s="1"/>
  <c r="AE40" i="24" s="1"/>
  <c r="AC41" i="24" s="1"/>
  <c r="AB28" i="26"/>
  <c r="J8" i="26"/>
  <c r="AH28" i="26"/>
  <c r="AE189" i="24"/>
  <c r="AC190" i="24" s="1"/>
  <c r="AE190" i="24" s="1"/>
  <c r="AC191" i="24" s="1"/>
  <c r="AD255" i="24"/>
  <c r="AE255" i="24"/>
  <c r="AC256" i="24" s="1"/>
  <c r="AE26" i="24"/>
  <c r="AC27" i="24" s="1"/>
  <c r="AD27" i="24" s="1"/>
  <c r="AH18" i="26"/>
  <c r="AH86" i="24"/>
  <c r="AB38" i="26"/>
  <c r="P18" i="26"/>
  <c r="J48" i="26"/>
  <c r="AH48" i="26"/>
  <c r="V8" i="26"/>
  <c r="V18" i="26"/>
  <c r="AH98" i="24"/>
  <c r="P28" i="26"/>
  <c r="AH248" i="24"/>
  <c r="AD34" i="24"/>
  <c r="J11" i="26"/>
  <c r="P48" i="26"/>
  <c r="AD105" i="24"/>
  <c r="P8" i="26"/>
  <c r="V28" i="26"/>
  <c r="V38" i="26"/>
  <c r="AB8" i="26"/>
  <c r="J18" i="26"/>
  <c r="J41" i="26"/>
  <c r="AF231" i="24"/>
  <c r="AH231" i="24" s="1"/>
  <c r="AG232" i="24"/>
  <c r="J21" i="26"/>
  <c r="AG208" i="24"/>
  <c r="AF207" i="24"/>
  <c r="AH44" i="24"/>
  <c r="J31" i="26"/>
  <c r="AH129" i="24"/>
  <c r="AG77" i="24"/>
  <c r="AF76" i="24"/>
  <c r="AD111" i="24"/>
  <c r="AE111" i="24"/>
  <c r="AC112" i="24" s="1"/>
  <c r="AF6" i="24"/>
  <c r="AG7" i="24"/>
  <c r="AH51" i="26"/>
  <c r="AD159" i="24"/>
  <c r="AE159" i="24"/>
  <c r="AC160" i="24" s="1"/>
  <c r="V31" i="26"/>
  <c r="AE45" i="24"/>
  <c r="AC46" i="24" s="1"/>
  <c r="AD45" i="24"/>
  <c r="AG125" i="24"/>
  <c r="AF124" i="24"/>
  <c r="V11" i="26"/>
  <c r="AB51" i="26"/>
  <c r="AH21" i="26"/>
  <c r="AB41" i="26"/>
  <c r="AH41" i="26"/>
  <c r="P21" i="26"/>
  <c r="AB31" i="26"/>
  <c r="P51" i="26"/>
  <c r="AH11" i="26"/>
  <c r="P31" i="26"/>
  <c r="AH31" i="26"/>
  <c r="P11" i="26"/>
  <c r="P41" i="26"/>
  <c r="V21" i="26"/>
  <c r="AG256" i="24"/>
  <c r="AF255" i="24"/>
  <c r="AB21" i="26"/>
  <c r="AF249" i="24"/>
  <c r="AG250" i="24"/>
  <c r="AF221" i="24"/>
  <c r="AG222" i="24"/>
  <c r="AG118" i="24"/>
  <c r="AF117" i="24"/>
  <c r="AG27" i="24"/>
  <c r="K8" i="26"/>
  <c r="AD52" i="24"/>
  <c r="AE52" i="24"/>
  <c r="AC53" i="24" s="1"/>
  <c r="AE207" i="24"/>
  <c r="AD207" i="24"/>
  <c r="AH44" i="26"/>
  <c r="V14" i="26"/>
  <c r="AH24" i="26"/>
  <c r="J24" i="26"/>
  <c r="P24" i="26"/>
  <c r="AH62" i="24"/>
  <c r="AB34" i="26"/>
  <c r="AB14" i="26"/>
  <c r="V44" i="26"/>
  <c r="J14" i="26"/>
  <c r="P44" i="26"/>
  <c r="AH14" i="26"/>
  <c r="AH34" i="26"/>
  <c r="V54" i="26"/>
  <c r="V34" i="26"/>
  <c r="P14" i="26"/>
  <c r="J54" i="26"/>
  <c r="P34" i="26"/>
  <c r="AB24" i="26"/>
  <c r="AH54" i="26"/>
  <c r="J34" i="26"/>
  <c r="P54" i="26"/>
  <c r="J44" i="26"/>
  <c r="AB54" i="26"/>
  <c r="AB44" i="26"/>
  <c r="V24" i="26"/>
  <c r="AD172" i="24"/>
  <c r="AE172" i="24"/>
  <c r="AC173" i="24" s="1"/>
  <c r="AD69" i="24"/>
  <c r="AE69" i="24"/>
  <c r="AC70" i="24" s="1"/>
  <c r="AF190" i="24"/>
  <c r="AG191" i="24"/>
  <c r="V10" i="26"/>
  <c r="AB40" i="26"/>
  <c r="P50" i="26"/>
  <c r="AB50" i="26"/>
  <c r="J40" i="26"/>
  <c r="AH38" i="24"/>
  <c r="AB10" i="26"/>
  <c r="P10" i="26"/>
  <c r="P40" i="26"/>
  <c r="J50" i="26"/>
  <c r="AH50" i="26"/>
  <c r="AH40" i="26"/>
  <c r="V20" i="26"/>
  <c r="AH20" i="26"/>
  <c r="P20" i="26"/>
  <c r="J10" i="26"/>
  <c r="AB20" i="26"/>
  <c r="V50" i="26"/>
  <c r="P30" i="26"/>
  <c r="J20" i="26"/>
  <c r="V30" i="26"/>
  <c r="AB30" i="26"/>
  <c r="AH30" i="26"/>
  <c r="V40" i="26"/>
  <c r="J30" i="26"/>
  <c r="AH10" i="26"/>
  <c r="AE9" i="24"/>
  <c r="AC10" i="24" s="1"/>
  <c r="AD9" i="24"/>
  <c r="AE237" i="24"/>
  <c r="AC238" i="24" s="1"/>
  <c r="AD237" i="24"/>
  <c r="AD18" i="24"/>
  <c r="AH18" i="24" s="1"/>
  <c r="AE18" i="24"/>
  <c r="AC19" i="24" s="1"/>
  <c r="AG112" i="24"/>
  <c r="AF111" i="24"/>
  <c r="AC87" i="24"/>
  <c r="AC88" i="24"/>
  <c r="AF45" i="24"/>
  <c r="AG46" i="24"/>
  <c r="AG150" i="24"/>
  <c r="AG149" i="24"/>
  <c r="AF149" i="24" s="1"/>
  <c r="AF148" i="24"/>
  <c r="AF171" i="24"/>
  <c r="AG172" i="24"/>
  <c r="AF136" i="24"/>
  <c r="AG137" i="24"/>
  <c r="AD220" i="24"/>
  <c r="AH220" i="24" s="1"/>
  <c r="AE220" i="24"/>
  <c r="AC221" i="24" s="1"/>
  <c r="AF105" i="24"/>
  <c r="AG106" i="24"/>
  <c r="AG89" i="24"/>
  <c r="AG88" i="24"/>
  <c r="AF88" i="24" s="1"/>
  <c r="AF87" i="24"/>
  <c r="AD147" i="24"/>
  <c r="AE147" i="24"/>
  <c r="AC148" i="24" s="1"/>
  <c r="AH35" i="26"/>
  <c r="J35" i="26"/>
  <c r="V45" i="26"/>
  <c r="AB35" i="26"/>
  <c r="J15" i="26"/>
  <c r="P55" i="26"/>
  <c r="AB25" i="26"/>
  <c r="V15" i="26"/>
  <c r="AB15" i="26"/>
  <c r="J55" i="26"/>
  <c r="AB45" i="26"/>
  <c r="V25" i="26"/>
  <c r="AH68" i="24"/>
  <c r="P35" i="26"/>
  <c r="AH45" i="26"/>
  <c r="AH15" i="26"/>
  <c r="J45" i="26"/>
  <c r="J25" i="26"/>
  <c r="AH25" i="26"/>
  <c r="P45" i="26"/>
  <c r="P25" i="26"/>
  <c r="AB55" i="26"/>
  <c r="P15" i="26"/>
  <c r="AH55" i="26"/>
  <c r="V35" i="26"/>
  <c r="V55" i="26"/>
  <c r="AE243" i="24"/>
  <c r="AC244" i="24" s="1"/>
  <c r="AD243" i="24"/>
  <c r="AE106" i="24"/>
  <c r="AC107" i="24" s="1"/>
  <c r="AD106" i="24"/>
  <c r="AF213" i="24"/>
  <c r="AG214" i="24"/>
  <c r="AG100" i="24"/>
  <c r="AF99" i="24"/>
  <c r="AH99" i="24" s="1"/>
  <c r="AD100" i="24"/>
  <c r="AE100" i="24"/>
  <c r="AC101" i="24" s="1"/>
  <c r="AD123" i="24"/>
  <c r="AH123" i="24" s="1"/>
  <c r="AE123" i="24"/>
  <c r="AC124" i="24" s="1"/>
  <c r="AD153" i="24"/>
  <c r="AH153" i="24" s="1"/>
  <c r="AE153" i="24"/>
  <c r="AC154" i="24" s="1"/>
  <c r="AF69" i="24"/>
  <c r="AG70" i="24"/>
  <c r="AE63" i="24"/>
  <c r="AC64" i="24" s="1"/>
  <c r="AD63" i="24"/>
  <c r="AH242" i="24"/>
  <c r="AE35" i="24"/>
  <c r="AC36" i="24" s="1"/>
  <c r="AD35" i="24"/>
  <c r="AD213" i="24"/>
  <c r="AE213" i="24"/>
  <c r="AC214" i="24" s="1"/>
  <c r="AC16" i="24"/>
  <c r="AC17" i="24"/>
  <c r="AG64" i="24"/>
  <c r="AF63" i="24"/>
  <c r="AD93" i="24"/>
  <c r="AE93" i="24"/>
  <c r="AC94" i="24" s="1"/>
  <c r="V17" i="26"/>
  <c r="V27" i="26"/>
  <c r="AB17" i="26"/>
  <c r="AB27" i="26"/>
  <c r="V37" i="26"/>
  <c r="AB7" i="26"/>
  <c r="AH7" i="26"/>
  <c r="J37" i="26"/>
  <c r="J47" i="26"/>
  <c r="AH27" i="26"/>
  <c r="P27" i="26"/>
  <c r="J27" i="26"/>
  <c r="P47" i="26"/>
  <c r="AB37" i="26"/>
  <c r="V47" i="26"/>
  <c r="J17" i="26"/>
  <c r="P37" i="26"/>
  <c r="AH47" i="26"/>
  <c r="P7" i="26"/>
  <c r="P17" i="26"/>
  <c r="V7" i="26"/>
  <c r="J7" i="26"/>
  <c r="AH17" i="26"/>
  <c r="AH37" i="26"/>
  <c r="AB47" i="26"/>
  <c r="AH15" i="24"/>
  <c r="AF39" i="24"/>
  <c r="Q20" i="26" s="1"/>
  <c r="AG40" i="24"/>
  <c r="J13" i="26"/>
  <c r="V53" i="26"/>
  <c r="P13" i="26"/>
  <c r="AH43" i="26"/>
  <c r="AH53" i="26"/>
  <c r="AH56" i="24"/>
  <c r="V13" i="26"/>
  <c r="V33" i="26"/>
  <c r="P33" i="26"/>
  <c r="AB13" i="26"/>
  <c r="J53" i="26"/>
  <c r="V43" i="26"/>
  <c r="P23" i="26"/>
  <c r="J23" i="26"/>
  <c r="P43" i="26"/>
  <c r="P53" i="26"/>
  <c r="AH33" i="26"/>
  <c r="AB43" i="26"/>
  <c r="J33" i="26"/>
  <c r="AH13" i="26"/>
  <c r="AB53" i="26"/>
  <c r="J43" i="26"/>
  <c r="AH23" i="26"/>
  <c r="AB33" i="26"/>
  <c r="AB23" i="26"/>
  <c r="V23" i="26"/>
  <c r="AE81" i="24"/>
  <c r="AC82" i="24" s="1"/>
  <c r="AD81" i="24"/>
  <c r="AH81" i="24" s="1"/>
  <c r="AD167" i="24"/>
  <c r="AE167" i="24"/>
  <c r="AC168" i="24" s="1"/>
  <c r="AF9" i="24"/>
  <c r="AG10" i="24"/>
  <c r="AE249" i="24"/>
  <c r="AC250" i="24" s="1"/>
  <c r="AD249" i="24"/>
  <c r="AF50" i="24"/>
  <c r="AG57" i="24"/>
  <c r="AH92" i="24"/>
  <c r="AH225" i="24"/>
  <c r="AD232" i="24"/>
  <c r="AE232" i="24"/>
  <c r="AC233" i="24" s="1"/>
  <c r="AH51" i="24"/>
  <c r="Q52" i="26"/>
  <c r="W42" i="26"/>
  <c r="Q22" i="26"/>
  <c r="AI12" i="26"/>
  <c r="AC12" i="26"/>
  <c r="Q32" i="26"/>
  <c r="AI22" i="26"/>
  <c r="W52" i="26"/>
  <c r="W22" i="26"/>
  <c r="AI32" i="26"/>
  <c r="K22" i="26"/>
  <c r="AC52" i="26"/>
  <c r="AI42" i="26"/>
  <c r="K12" i="26"/>
  <c r="Q42" i="26"/>
  <c r="W32" i="26"/>
  <c r="AC32" i="26"/>
  <c r="AI52" i="26"/>
  <c r="AC42" i="26"/>
  <c r="Q12" i="26"/>
  <c r="K42" i="26"/>
  <c r="K52" i="26"/>
  <c r="W12" i="26"/>
  <c r="K32" i="26"/>
  <c r="AC22" i="26"/>
  <c r="J29" i="26"/>
  <c r="AH19" i="26"/>
  <c r="J39" i="26"/>
  <c r="V49" i="26"/>
  <c r="J9" i="26"/>
  <c r="AB9" i="26"/>
  <c r="AH39" i="26"/>
  <c r="AH29" i="26"/>
  <c r="V9" i="26"/>
  <c r="AB49" i="26"/>
  <c r="V29" i="26"/>
  <c r="V19" i="26"/>
  <c r="AH32" i="24"/>
  <c r="AB19" i="26"/>
  <c r="P49" i="26"/>
  <c r="P29" i="26"/>
  <c r="AH49" i="26"/>
  <c r="V39" i="26"/>
  <c r="AB29" i="26"/>
  <c r="J49" i="26"/>
  <c r="P19" i="26"/>
  <c r="P39" i="26"/>
  <c r="AB39" i="26"/>
  <c r="P9" i="26"/>
  <c r="J19" i="26"/>
  <c r="AH9" i="26"/>
  <c r="AD226" i="24"/>
  <c r="AE226" i="24"/>
  <c r="AC227" i="24" s="1"/>
  <c r="AD135" i="24"/>
  <c r="AH135" i="24" s="1"/>
  <c r="AE135" i="24"/>
  <c r="AC136" i="24" s="1"/>
  <c r="AG239" i="24"/>
  <c r="AF238" i="24"/>
  <c r="AD59" i="24"/>
  <c r="AE59" i="24"/>
  <c r="AC60" i="24" s="1"/>
  <c r="AH4" i="24"/>
  <c r="AB36" i="26"/>
  <c r="J46" i="26"/>
  <c r="AH26" i="26"/>
  <c r="P16" i="26"/>
  <c r="AB16" i="26"/>
  <c r="AH6" i="26"/>
  <c r="P6" i="26"/>
  <c r="AB46" i="26"/>
  <c r="AH16" i="26"/>
  <c r="AB6" i="26"/>
  <c r="V16" i="26"/>
  <c r="V26" i="26"/>
  <c r="V36" i="26"/>
  <c r="AB26" i="26"/>
  <c r="V46" i="26"/>
  <c r="AH36" i="26"/>
  <c r="P26" i="26"/>
  <c r="P36" i="26"/>
  <c r="P46" i="26"/>
  <c r="J36" i="26"/>
  <c r="V6" i="26"/>
  <c r="J16" i="26"/>
  <c r="J6" i="26"/>
  <c r="J26" i="26"/>
  <c r="AH46" i="26"/>
  <c r="AE75" i="24"/>
  <c r="AC76" i="24" s="1"/>
  <c r="AD75" i="24"/>
  <c r="AH75" i="24" s="1"/>
  <c r="AG94" i="24"/>
  <c r="AF93" i="24"/>
  <c r="AE177" i="24"/>
  <c r="AC178" i="24" s="1"/>
  <c r="AD177" i="24"/>
  <c r="AH177" i="24" s="1"/>
  <c r="AD5" i="24"/>
  <c r="AE5" i="24"/>
  <c r="AC6" i="24" s="1"/>
  <c r="AF166" i="24"/>
  <c r="AH166" i="24" s="1"/>
  <c r="AG167" i="24"/>
  <c r="AF83" i="24"/>
  <c r="AG84" i="24"/>
  <c r="AD195" i="24"/>
  <c r="AH195" i="24" s="1"/>
  <c r="AE195" i="24"/>
  <c r="AC196" i="24" s="1"/>
  <c r="AD117" i="24"/>
  <c r="AE117" i="24"/>
  <c r="AC118" i="24" s="1"/>
  <c r="AG185" i="24"/>
  <c r="AF184" i="24"/>
  <c r="AW53" i="55" l="1"/>
  <c r="AW17" i="55"/>
  <c r="AW23" i="55"/>
  <c r="AG28" i="24"/>
  <c r="AF28" i="24" s="1"/>
  <c r="AF27" i="24"/>
  <c r="AW57" i="55"/>
  <c r="AW3" i="55"/>
  <c r="AF130" i="24"/>
  <c r="AH147" i="24"/>
  <c r="AH7" i="54"/>
  <c r="AI8" i="54"/>
  <c r="AG7" i="54"/>
  <c r="AE8" i="54" s="1"/>
  <c r="AF7" i="54"/>
  <c r="AJ7" i="54" s="1"/>
  <c r="AJ6" i="54"/>
  <c r="AI14" i="54"/>
  <c r="AH13" i="54"/>
  <c r="AJ13" i="54" s="1"/>
  <c r="AG15" i="54"/>
  <c r="AF15" i="54"/>
  <c r="AE202" i="24"/>
  <c r="AC203" i="24" s="1"/>
  <c r="AD203" i="24" s="1"/>
  <c r="AD130" i="24"/>
  <c r="AF245" i="24"/>
  <c r="AH243" i="24"/>
  <c r="AH184" i="24"/>
  <c r="AE142" i="24"/>
  <c r="AC143" i="24" s="1"/>
  <c r="AE143" i="24" s="1"/>
  <c r="AC144" i="24" s="1"/>
  <c r="AH237" i="24"/>
  <c r="AE184" i="24"/>
  <c r="AC185" i="24" s="1"/>
  <c r="AF196" i="24"/>
  <c r="AG179" i="24"/>
  <c r="AG180" i="24" s="1"/>
  <c r="AG227" i="24"/>
  <c r="AF227" i="24" s="1"/>
  <c r="AG35" i="24"/>
  <c r="AG36" i="24" s="1"/>
  <c r="AG37" i="24" s="1"/>
  <c r="AF37" i="24" s="1"/>
  <c r="AJ29" i="26"/>
  <c r="AD39" i="26"/>
  <c r="L49" i="26"/>
  <c r="AD40" i="24"/>
  <c r="AG143" i="24"/>
  <c r="AF143" i="24" s="1"/>
  <c r="AG155" i="24"/>
  <c r="AF155" i="24" s="1"/>
  <c r="AD19" i="26"/>
  <c r="R19" i="26"/>
  <c r="X29" i="26"/>
  <c r="AF22" i="24"/>
  <c r="X9" i="26"/>
  <c r="AJ39" i="26"/>
  <c r="AG53" i="24"/>
  <c r="AF53" i="24" s="1"/>
  <c r="L9" i="26"/>
  <c r="L19" i="26"/>
  <c r="AD29" i="26"/>
  <c r="AD49" i="26"/>
  <c r="AG203" i="24"/>
  <c r="AH202" i="24"/>
  <c r="AH105" i="24"/>
  <c r="AE27" i="24"/>
  <c r="AC28" i="24" s="1"/>
  <c r="Q38" i="26"/>
  <c r="AC8" i="26"/>
  <c r="Q48" i="26"/>
  <c r="AD9" i="26"/>
  <c r="Q8" i="26"/>
  <c r="X39" i="26"/>
  <c r="K18" i="26"/>
  <c r="X49" i="26"/>
  <c r="L29" i="26"/>
  <c r="AH111" i="24"/>
  <c r="W28" i="26"/>
  <c r="R29" i="26"/>
  <c r="R49" i="26"/>
  <c r="X19" i="26"/>
  <c r="AD190" i="24"/>
  <c r="AH190" i="24" s="1"/>
  <c r="AF160" i="24"/>
  <c r="AG161" i="24"/>
  <c r="AC38" i="26"/>
  <c r="AJ9" i="26"/>
  <c r="W8" i="26"/>
  <c r="R9" i="26"/>
  <c r="AH255" i="24"/>
  <c r="AH26" i="24"/>
  <c r="R39" i="26"/>
  <c r="AI38" i="26"/>
  <c r="AC28" i="26"/>
  <c r="AH34" i="24"/>
  <c r="AJ19" i="26"/>
  <c r="AH249" i="24"/>
  <c r="K28" i="26"/>
  <c r="AJ49" i="26"/>
  <c r="L39" i="26"/>
  <c r="AH159" i="24"/>
  <c r="AI48" i="26"/>
  <c r="K48" i="26"/>
  <c r="AD256" i="24"/>
  <c r="AE256" i="24"/>
  <c r="AC257" i="24" s="1"/>
  <c r="AI8" i="26"/>
  <c r="W48" i="26"/>
  <c r="Q18" i="26"/>
  <c r="W38" i="26"/>
  <c r="AI18" i="26"/>
  <c r="AH226" i="24"/>
  <c r="K38" i="26"/>
  <c r="AC18" i="26"/>
  <c r="AI28" i="26"/>
  <c r="Q28" i="26"/>
  <c r="W18" i="26"/>
  <c r="AC48" i="26"/>
  <c r="AH171" i="24"/>
  <c r="AG8" i="24"/>
  <c r="AF8" i="24" s="1"/>
  <c r="AG19" i="24"/>
  <c r="AF7" i="24"/>
  <c r="AH142" i="24"/>
  <c r="AD112" i="24"/>
  <c r="AE112" i="24"/>
  <c r="AC113" i="24" s="1"/>
  <c r="AF77" i="24"/>
  <c r="AG78" i="24"/>
  <c r="Q40" i="26"/>
  <c r="AH207" i="24"/>
  <c r="AG209" i="24"/>
  <c r="AF208" i="24"/>
  <c r="AG132" i="24"/>
  <c r="AF131" i="24"/>
  <c r="AE46" i="24"/>
  <c r="AC47" i="24" s="1"/>
  <c r="AD46" i="24"/>
  <c r="AG233" i="24"/>
  <c r="AF232" i="24"/>
  <c r="AH232" i="24" s="1"/>
  <c r="AF197" i="24"/>
  <c r="AG198" i="24"/>
  <c r="AG257" i="24"/>
  <c r="AF256" i="24"/>
  <c r="AE160" i="24"/>
  <c r="AC161" i="24" s="1"/>
  <c r="AD160" i="24"/>
  <c r="AG126" i="24"/>
  <c r="AF126" i="24" s="1"/>
  <c r="AG127" i="24"/>
  <c r="AF127" i="24" s="1"/>
  <c r="AF125" i="24"/>
  <c r="AD214" i="24"/>
  <c r="AE214" i="24"/>
  <c r="AC215" i="24" s="1"/>
  <c r="AG90" i="24"/>
  <c r="AF89" i="24"/>
  <c r="K50" i="26"/>
  <c r="AC40" i="26"/>
  <c r="AD173" i="24"/>
  <c r="AE173" i="24"/>
  <c r="AC174" i="24" s="1"/>
  <c r="AE6" i="24"/>
  <c r="AD6" i="24"/>
  <c r="AE60" i="24"/>
  <c r="AC61" i="24" s="1"/>
  <c r="AD60" i="24"/>
  <c r="AE233" i="24"/>
  <c r="AC234" i="24" s="1"/>
  <c r="AD233" i="24"/>
  <c r="AH213" i="24"/>
  <c r="AG107" i="24"/>
  <c r="AF106" i="24"/>
  <c r="AH106" i="24" s="1"/>
  <c r="AD191" i="24"/>
  <c r="AE191" i="24"/>
  <c r="AC192" i="24" s="1"/>
  <c r="W20" i="26"/>
  <c r="AI10" i="26"/>
  <c r="AH39" i="24"/>
  <c r="AD41" i="24"/>
  <c r="AE41" i="24"/>
  <c r="AC42" i="24" s="1"/>
  <c r="AF46" i="24"/>
  <c r="AG47" i="24"/>
  <c r="K30" i="26"/>
  <c r="AG24" i="24"/>
  <c r="AF24" i="24" s="1"/>
  <c r="AF23" i="24"/>
  <c r="AC41" i="26"/>
  <c r="W51" i="26"/>
  <c r="K11" i="26"/>
  <c r="AH45" i="24"/>
  <c r="AC21" i="26"/>
  <c r="AI21" i="26"/>
  <c r="W21" i="26"/>
  <c r="W31" i="26"/>
  <c r="AI31" i="26"/>
  <c r="K51" i="26"/>
  <c r="K41" i="26"/>
  <c r="AI41" i="26"/>
  <c r="Q31" i="26"/>
  <c r="AC31" i="26"/>
  <c r="Q21" i="26"/>
  <c r="K21" i="26"/>
  <c r="W11" i="26"/>
  <c r="Q51" i="26"/>
  <c r="AC11" i="26"/>
  <c r="W41" i="26"/>
  <c r="Q41" i="26"/>
  <c r="Q11" i="26"/>
  <c r="AI11" i="26"/>
  <c r="AI51" i="26"/>
  <c r="AC51" i="26"/>
  <c r="K31" i="26"/>
  <c r="AC20" i="26"/>
  <c r="AE36" i="24"/>
  <c r="AC37" i="24" s="1"/>
  <c r="AD36" i="24"/>
  <c r="AD88" i="24"/>
  <c r="AH88" i="24" s="1"/>
  <c r="AE88" i="24"/>
  <c r="AC89" i="24" s="1"/>
  <c r="AC30" i="26"/>
  <c r="AG119" i="24"/>
  <c r="AF118" i="24"/>
  <c r="AD227" i="24"/>
  <c r="AE227" i="24"/>
  <c r="AC228" i="24" s="1"/>
  <c r="W26" i="26"/>
  <c r="AC36" i="26"/>
  <c r="W36" i="26"/>
  <c r="AC6" i="26"/>
  <c r="AI16" i="26"/>
  <c r="K16" i="26"/>
  <c r="W6" i="26"/>
  <c r="Q36" i="26"/>
  <c r="K46" i="26"/>
  <c r="AI46" i="26"/>
  <c r="AC26" i="26"/>
  <c r="W16" i="26"/>
  <c r="Q26" i="26"/>
  <c r="AC16" i="26"/>
  <c r="Q16" i="26"/>
  <c r="AI26" i="26"/>
  <c r="AI6" i="26"/>
  <c r="AC46" i="26"/>
  <c r="K26" i="26"/>
  <c r="Q6" i="26"/>
  <c r="K6" i="26"/>
  <c r="K36" i="26"/>
  <c r="AH5" i="24"/>
  <c r="Q46" i="26"/>
  <c r="W46" i="26"/>
  <c r="AI36" i="26"/>
  <c r="AG240" i="24"/>
  <c r="AF239" i="24"/>
  <c r="AD136" i="24"/>
  <c r="AH136" i="24" s="1"/>
  <c r="AE136" i="24"/>
  <c r="AC137" i="24" s="1"/>
  <c r="AD131" i="24"/>
  <c r="AE131" i="24"/>
  <c r="AC132" i="24" s="1"/>
  <c r="AF57" i="24"/>
  <c r="AG58" i="24"/>
  <c r="J32" i="26"/>
  <c r="AB42" i="26"/>
  <c r="AH52" i="26"/>
  <c r="P12" i="26"/>
  <c r="AH22" i="26"/>
  <c r="AB32" i="26"/>
  <c r="J22" i="26"/>
  <c r="AH12" i="26"/>
  <c r="J52" i="26"/>
  <c r="AB12" i="26"/>
  <c r="AH42" i="26"/>
  <c r="J12" i="26"/>
  <c r="V52" i="26"/>
  <c r="AH50" i="24"/>
  <c r="P42" i="26"/>
  <c r="V42" i="26"/>
  <c r="V12" i="26"/>
  <c r="P22" i="26"/>
  <c r="V32" i="26"/>
  <c r="AB52" i="26"/>
  <c r="P52" i="26"/>
  <c r="AH32" i="26"/>
  <c r="J42" i="26"/>
  <c r="V22" i="26"/>
  <c r="P32" i="26"/>
  <c r="AB22" i="26"/>
  <c r="AG138" i="24"/>
  <c r="AF137" i="24"/>
  <c r="AI30" i="26"/>
  <c r="AD87" i="24"/>
  <c r="AH87" i="24" s="1"/>
  <c r="AE87" i="24"/>
  <c r="Q50" i="26"/>
  <c r="AF222" i="24"/>
  <c r="AG223" i="24"/>
  <c r="AF223" i="24" s="1"/>
  <c r="K44" i="26"/>
  <c r="W44" i="26"/>
  <c r="Q44" i="26"/>
  <c r="W14" i="26"/>
  <c r="AC44" i="26"/>
  <c r="AC34" i="26"/>
  <c r="AC24" i="26"/>
  <c r="AH63" i="24"/>
  <c r="AI14" i="26"/>
  <c r="W34" i="26"/>
  <c r="AC54" i="26"/>
  <c r="K34" i="26"/>
  <c r="Q14" i="26"/>
  <c r="Q24" i="26"/>
  <c r="K24" i="26"/>
  <c r="AI34" i="26"/>
  <c r="K14" i="26"/>
  <c r="AI44" i="26"/>
  <c r="Q54" i="26"/>
  <c r="Q34" i="26"/>
  <c r="AI54" i="26"/>
  <c r="W54" i="26"/>
  <c r="AC14" i="26"/>
  <c r="W24" i="26"/>
  <c r="K54" i="26"/>
  <c r="AI24" i="26"/>
  <c r="AG113" i="24"/>
  <c r="AF112" i="24"/>
  <c r="W10" i="26"/>
  <c r="AE208" i="24"/>
  <c r="AC209" i="24" s="1"/>
  <c r="AD208" i="24"/>
  <c r="AD221" i="24"/>
  <c r="AH221" i="24" s="1"/>
  <c r="AE221" i="24"/>
  <c r="AC222" i="24" s="1"/>
  <c r="AD64" i="24"/>
  <c r="AE64" i="24"/>
  <c r="AC65" i="24" s="1"/>
  <c r="AG215" i="24"/>
  <c r="AF214" i="24"/>
  <c r="AH117" i="24"/>
  <c r="AE250" i="24"/>
  <c r="AC251" i="24" s="1"/>
  <c r="AD250" i="24"/>
  <c r="AC50" i="26"/>
  <c r="AG96" i="24"/>
  <c r="AG95" i="24"/>
  <c r="AF95" i="24" s="1"/>
  <c r="AF94" i="24"/>
  <c r="AG173" i="24"/>
  <c r="AF172" i="24"/>
  <c r="AH172" i="24" s="1"/>
  <c r="AE238" i="24"/>
  <c r="AC239" i="24" s="1"/>
  <c r="AD238" i="24"/>
  <c r="AH238" i="24" s="1"/>
  <c r="W50" i="26"/>
  <c r="AD53" i="24"/>
  <c r="AE53" i="24"/>
  <c r="AC54" i="24" s="1"/>
  <c r="AD76" i="24"/>
  <c r="AH76" i="24" s="1"/>
  <c r="AE76" i="24"/>
  <c r="AC77" i="24" s="1"/>
  <c r="K20" i="26"/>
  <c r="AD178" i="24"/>
  <c r="AH178" i="24" s="1"/>
  <c r="AE178" i="24"/>
  <c r="AC179" i="24" s="1"/>
  <c r="W30" i="26"/>
  <c r="AG11" i="24"/>
  <c r="AF10" i="24"/>
  <c r="U26" i="26"/>
  <c r="AA26" i="26"/>
  <c r="U16" i="26"/>
  <c r="O36" i="26"/>
  <c r="AG6" i="26"/>
  <c r="AM36" i="26"/>
  <c r="AM16" i="26"/>
  <c r="U36" i="26"/>
  <c r="AA36" i="26"/>
  <c r="AG46" i="26"/>
  <c r="O46" i="26"/>
  <c r="AA46" i="26"/>
  <c r="U46" i="26"/>
  <c r="O16" i="26"/>
  <c r="AG26" i="26"/>
  <c r="U6" i="26"/>
  <c r="AM26" i="26"/>
  <c r="AM46" i="26"/>
  <c r="AH9" i="24"/>
  <c r="AG36" i="26"/>
  <c r="AA16" i="26"/>
  <c r="O26" i="26"/>
  <c r="AG16" i="26"/>
  <c r="AA6" i="26"/>
  <c r="O6" i="26"/>
  <c r="AM6" i="26"/>
  <c r="AI40" i="26"/>
  <c r="R22" i="26"/>
  <c r="L12" i="26"/>
  <c r="R12" i="26"/>
  <c r="AD42" i="26"/>
  <c r="X22" i="26"/>
  <c r="R52" i="26"/>
  <c r="X12" i="26"/>
  <c r="L42" i="26"/>
  <c r="R42" i="26"/>
  <c r="L22" i="26"/>
  <c r="AD52" i="26"/>
  <c r="L52" i="26"/>
  <c r="X52" i="26"/>
  <c r="X42" i="26"/>
  <c r="L32" i="26"/>
  <c r="AH52" i="24"/>
  <c r="AJ12" i="26"/>
  <c r="AJ22" i="26"/>
  <c r="AJ42" i="26"/>
  <c r="AJ52" i="26"/>
  <c r="AD12" i="26"/>
  <c r="R32" i="26"/>
  <c r="AD32" i="26"/>
  <c r="AD22" i="26"/>
  <c r="X32" i="26"/>
  <c r="AJ32" i="26"/>
  <c r="AG85" i="24"/>
  <c r="AF85" i="24" s="1"/>
  <c r="AF84" i="24"/>
  <c r="AD168" i="24"/>
  <c r="AE168" i="24"/>
  <c r="AC169" i="24" s="1"/>
  <c r="AH93" i="24"/>
  <c r="AE154" i="24"/>
  <c r="AC155" i="24" s="1"/>
  <c r="AD154" i="24"/>
  <c r="AH154" i="24" s="1"/>
  <c r="AD148" i="24"/>
  <c r="AH148" i="24" s="1"/>
  <c r="AE148" i="24"/>
  <c r="AC149" i="24" s="1"/>
  <c r="AG151" i="24"/>
  <c r="AF151" i="24" s="1"/>
  <c r="AF150" i="24"/>
  <c r="AD10" i="24"/>
  <c r="AE10" i="24"/>
  <c r="AC11" i="24" s="1"/>
  <c r="W40" i="26"/>
  <c r="AG101" i="24"/>
  <c r="AF100" i="24"/>
  <c r="AH100" i="24" s="1"/>
  <c r="AD244" i="24"/>
  <c r="AH244" i="24" s="1"/>
  <c r="AE244" i="24"/>
  <c r="AE19" i="24"/>
  <c r="AC20" i="24" s="1"/>
  <c r="AD19" i="24"/>
  <c r="AF70" i="24"/>
  <c r="AG71" i="24"/>
  <c r="AG247" i="24"/>
  <c r="AF247" i="24" s="1"/>
  <c r="AF246" i="24"/>
  <c r="AI20" i="26"/>
  <c r="Q10" i="26"/>
  <c r="AE118" i="24"/>
  <c r="AC119" i="24" s="1"/>
  <c r="AD118" i="24"/>
  <c r="AF191" i="24"/>
  <c r="AG192" i="24"/>
  <c r="Q30" i="26"/>
  <c r="AG65" i="24"/>
  <c r="AF64" i="24"/>
  <c r="AD124" i="24"/>
  <c r="AH124" i="24" s="1"/>
  <c r="AE124" i="24"/>
  <c r="AC125" i="24" s="1"/>
  <c r="AE82" i="24"/>
  <c r="AC83" i="24" s="1"/>
  <c r="AD82" i="24"/>
  <c r="AH82" i="24" s="1"/>
  <c r="AE17" i="24"/>
  <c r="AC22" i="24" s="1"/>
  <c r="AD17" i="24"/>
  <c r="K40" i="26"/>
  <c r="AI50" i="26"/>
  <c r="AE70" i="24"/>
  <c r="AC71" i="24" s="1"/>
  <c r="AD70" i="24"/>
  <c r="AG29" i="24"/>
  <c r="AD8" i="26"/>
  <c r="AF40" i="24"/>
  <c r="AG41" i="24"/>
  <c r="AG186" i="24"/>
  <c r="AF185" i="24"/>
  <c r="AE196" i="24"/>
  <c r="AC197" i="24" s="1"/>
  <c r="AD196" i="24"/>
  <c r="AE94" i="24"/>
  <c r="AC95" i="24" s="1"/>
  <c r="AD94" i="24"/>
  <c r="AE107" i="24"/>
  <c r="AC108" i="24" s="1"/>
  <c r="AD107" i="24"/>
  <c r="K10" i="26"/>
  <c r="AF250" i="24"/>
  <c r="AG251" i="24"/>
  <c r="AG168" i="24"/>
  <c r="AF167" i="24"/>
  <c r="AH167" i="24" s="1"/>
  <c r="AD16" i="24"/>
  <c r="AE16" i="24"/>
  <c r="AD101" i="24"/>
  <c r="AE101" i="24"/>
  <c r="AC102" i="24" s="1"/>
  <c r="AC10" i="26"/>
  <c r="AI15" i="26"/>
  <c r="AI45" i="26"/>
  <c r="W15" i="26"/>
  <c r="AC45" i="26"/>
  <c r="K25" i="26"/>
  <c r="K55" i="26"/>
  <c r="K45" i="26"/>
  <c r="W55" i="26"/>
  <c r="AH69" i="24"/>
  <c r="K35" i="26"/>
  <c r="Q35" i="26"/>
  <c r="AI25" i="26"/>
  <c r="Q25" i="26"/>
  <c r="W35" i="26"/>
  <c r="Q45" i="26"/>
  <c r="Q55" i="26"/>
  <c r="W45" i="26"/>
  <c r="AC55" i="26"/>
  <c r="AI55" i="26"/>
  <c r="AI35" i="26"/>
  <c r="K15" i="26"/>
  <c r="W25" i="26"/>
  <c r="AC15" i="26"/>
  <c r="AC25" i="26"/>
  <c r="AC35" i="26"/>
  <c r="Q15" i="26"/>
  <c r="AE28" i="24" l="1"/>
  <c r="AD28" i="24"/>
  <c r="AH28" i="24" s="1"/>
  <c r="AC29" i="24"/>
  <c r="AE29" i="24" s="1"/>
  <c r="AC30" i="24" s="1"/>
  <c r="AH130" i="24"/>
  <c r="AE16" i="54"/>
  <c r="AE17" i="54"/>
  <c r="AH14" i="54"/>
  <c r="AJ14" i="54" s="1"/>
  <c r="AI15" i="54"/>
  <c r="AG8" i="54"/>
  <c r="AE9" i="54" s="1"/>
  <c r="AF8" i="54"/>
  <c r="AH8" i="54"/>
  <c r="AI9" i="54"/>
  <c r="AH9" i="54" s="1"/>
  <c r="AE203" i="24"/>
  <c r="AC204" i="24" s="1"/>
  <c r="AD204" i="24" s="1"/>
  <c r="AF179" i="24"/>
  <c r="AD143" i="24"/>
  <c r="AH143" i="24" s="1"/>
  <c r="AG228" i="24"/>
  <c r="AF228" i="24" s="1"/>
  <c r="AF36" i="24"/>
  <c r="AL29" i="26" s="1"/>
  <c r="AH196" i="24"/>
  <c r="AE185" i="24"/>
  <c r="AC186" i="24" s="1"/>
  <c r="AD185" i="24"/>
  <c r="AH185" i="24" s="1"/>
  <c r="AG144" i="24"/>
  <c r="AF144" i="24" s="1"/>
  <c r="AJ10" i="26"/>
  <c r="AF35" i="24"/>
  <c r="AK19" i="26" s="1"/>
  <c r="AG156" i="24"/>
  <c r="AG157" i="24" s="1"/>
  <c r="AF157" i="24" s="1"/>
  <c r="AG54" i="24"/>
  <c r="AG55" i="24" s="1"/>
  <c r="AF55" i="24" s="1"/>
  <c r="AH160" i="24"/>
  <c r="AF203" i="24"/>
  <c r="AH203" i="24" s="1"/>
  <c r="AG204" i="24"/>
  <c r="AH112" i="24"/>
  <c r="AF161" i="24"/>
  <c r="AG163" i="24"/>
  <c r="AF163" i="24" s="1"/>
  <c r="AG162" i="24"/>
  <c r="AF162" i="24" s="1"/>
  <c r="AH10" i="24"/>
  <c r="X18" i="26"/>
  <c r="AE257" i="24"/>
  <c r="AC258" i="24" s="1"/>
  <c r="AD257" i="24"/>
  <c r="AJ8" i="26"/>
  <c r="AD28" i="26"/>
  <c r="AJ38" i="26"/>
  <c r="R38" i="26"/>
  <c r="R8" i="26"/>
  <c r="AD18" i="26"/>
  <c r="AD38" i="26"/>
  <c r="L38" i="26"/>
  <c r="AH256" i="24"/>
  <c r="AG235" i="24"/>
  <c r="AF235" i="24" s="1"/>
  <c r="AF233" i="24"/>
  <c r="AH233" i="24" s="1"/>
  <c r="AG234" i="24"/>
  <c r="AF234" i="24" s="1"/>
  <c r="AD47" i="24"/>
  <c r="AE47" i="24"/>
  <c r="AC48" i="24" s="1"/>
  <c r="L50" i="26"/>
  <c r="R50" i="26"/>
  <c r="AF132" i="24"/>
  <c r="AG133" i="24"/>
  <c r="AF133" i="24" s="1"/>
  <c r="AF209" i="24"/>
  <c r="AG210" i="24"/>
  <c r="R10" i="26"/>
  <c r="AE161" i="24"/>
  <c r="AC162" i="24" s="1"/>
  <c r="AD161" i="24"/>
  <c r="AH131" i="24"/>
  <c r="R40" i="26"/>
  <c r="X30" i="26"/>
  <c r="L48" i="26"/>
  <c r="AH208" i="24"/>
  <c r="AH191" i="24"/>
  <c r="AG258" i="24"/>
  <c r="AF257" i="24"/>
  <c r="AF19" i="24"/>
  <c r="AH19" i="24" s="1"/>
  <c r="AG20" i="24"/>
  <c r="AG79" i="24"/>
  <c r="AF79" i="24" s="1"/>
  <c r="AF78" i="24"/>
  <c r="AE113" i="24"/>
  <c r="AC114" i="24" s="1"/>
  <c r="AD113" i="24"/>
  <c r="AH94" i="24"/>
  <c r="AF198" i="24"/>
  <c r="AG199" i="24"/>
  <c r="AF199" i="24" s="1"/>
  <c r="AD77" i="24"/>
  <c r="AH77" i="24" s="1"/>
  <c r="AE77" i="24"/>
  <c r="AC78" i="24" s="1"/>
  <c r="AD197" i="24"/>
  <c r="AH197" i="24" s="1"/>
  <c r="AE197" i="24"/>
  <c r="AC198" i="24" s="1"/>
  <c r="AE83" i="24"/>
  <c r="AC84" i="24" s="1"/>
  <c r="AD83" i="24"/>
  <c r="AH83" i="24" s="1"/>
  <c r="AJ48" i="26"/>
  <c r="AD48" i="26"/>
  <c r="AE11" i="24"/>
  <c r="AC12" i="24" s="1"/>
  <c r="AD11" i="24"/>
  <c r="AG48" i="24"/>
  <c r="AF47" i="24"/>
  <c r="R30" i="26"/>
  <c r="AF107" i="24"/>
  <c r="AH107" i="24" s="1"/>
  <c r="AG108" i="24"/>
  <c r="AD22" i="24"/>
  <c r="AE22" i="24"/>
  <c r="AC23" i="24" s="1"/>
  <c r="AE192" i="24"/>
  <c r="AC193" i="24" s="1"/>
  <c r="AD192" i="24"/>
  <c r="X41" i="26"/>
  <c r="X51" i="26"/>
  <c r="X21" i="26"/>
  <c r="L41" i="26"/>
  <c r="AD41" i="26"/>
  <c r="AJ41" i="26"/>
  <c r="AD21" i="26"/>
  <c r="AD11" i="26"/>
  <c r="AH46" i="24"/>
  <c r="L21" i="26"/>
  <c r="L31" i="26"/>
  <c r="R41" i="26"/>
  <c r="AJ21" i="26"/>
  <c r="AD31" i="26"/>
  <c r="AD51" i="26"/>
  <c r="R31" i="26"/>
  <c r="L11" i="26"/>
  <c r="R51" i="26"/>
  <c r="AJ31" i="26"/>
  <c r="R21" i="26"/>
  <c r="AJ51" i="26"/>
  <c r="X31" i="26"/>
  <c r="X11" i="26"/>
  <c r="AJ11" i="26"/>
  <c r="R11" i="26"/>
  <c r="L51" i="26"/>
  <c r="AD102" i="24"/>
  <c r="AE102" i="24"/>
  <c r="AC103" i="24" s="1"/>
  <c r="L8" i="26"/>
  <c r="X48" i="26"/>
  <c r="AE149" i="24"/>
  <c r="AD149" i="24"/>
  <c r="AH149" i="24" s="1"/>
  <c r="AE22" i="26"/>
  <c r="Y52" i="26"/>
  <c r="AK32" i="26"/>
  <c r="Y22" i="26"/>
  <c r="S22" i="26"/>
  <c r="S32" i="26"/>
  <c r="AE32" i="26"/>
  <c r="Y32" i="26"/>
  <c r="AE42" i="26"/>
  <c r="AK12" i="26"/>
  <c r="M32" i="26"/>
  <c r="S52" i="26"/>
  <c r="AK42" i="26"/>
  <c r="Y12" i="26"/>
  <c r="S42" i="26"/>
  <c r="Y42" i="26"/>
  <c r="AH53" i="24"/>
  <c r="AK52" i="26"/>
  <c r="M42" i="26"/>
  <c r="AK22" i="26"/>
  <c r="AE12" i="26"/>
  <c r="M12" i="26"/>
  <c r="S12" i="26"/>
  <c r="M52" i="26"/>
  <c r="AE52" i="26"/>
  <c r="M22" i="26"/>
  <c r="L44" i="26"/>
  <c r="L54" i="26"/>
  <c r="R54" i="26"/>
  <c r="AD44" i="26"/>
  <c r="AJ44" i="26"/>
  <c r="R44" i="26"/>
  <c r="L14" i="26"/>
  <c r="R24" i="26"/>
  <c r="AJ24" i="26"/>
  <c r="AD24" i="26"/>
  <c r="L34" i="26"/>
  <c r="X54" i="26"/>
  <c r="R34" i="26"/>
  <c r="X34" i="26"/>
  <c r="L24" i="26"/>
  <c r="AJ34" i="26"/>
  <c r="AJ54" i="26"/>
  <c r="AH64" i="24"/>
  <c r="AD54" i="26"/>
  <c r="AD34" i="26"/>
  <c r="X14" i="26"/>
  <c r="R14" i="26"/>
  <c r="AJ14" i="26"/>
  <c r="X24" i="26"/>
  <c r="X44" i="26"/>
  <c r="AG120" i="24"/>
  <c r="AF119" i="24"/>
  <c r="AD10" i="26"/>
  <c r="AE234" i="24"/>
  <c r="AC235" i="24" s="1"/>
  <c r="AD234" i="24"/>
  <c r="L40" i="26"/>
  <c r="AD228" i="24"/>
  <c r="AE228" i="24"/>
  <c r="AC229" i="24" s="1"/>
  <c r="AF65" i="24"/>
  <c r="AG66" i="24"/>
  <c r="X8" i="26"/>
  <c r="AD30" i="24"/>
  <c r="AE30" i="24"/>
  <c r="AC31" i="24" s="1"/>
  <c r="AD89" i="24"/>
  <c r="AH89" i="24" s="1"/>
  <c r="AE89" i="24"/>
  <c r="AD144" i="24"/>
  <c r="AE144" i="24"/>
  <c r="AC145" i="24" s="1"/>
  <c r="L30" i="26"/>
  <c r="AE61" i="24"/>
  <c r="AD61" i="24"/>
  <c r="AE95" i="24"/>
  <c r="AC96" i="24" s="1"/>
  <c r="AD95" i="24"/>
  <c r="AH95" i="24" s="1"/>
  <c r="AF138" i="24"/>
  <c r="AG139" i="24"/>
  <c r="AF139" i="24" s="1"/>
  <c r="AE42" i="24"/>
  <c r="AC43" i="24" s="1"/>
  <c r="AD42" i="24"/>
  <c r="AE125" i="24"/>
  <c r="AC126" i="24" s="1"/>
  <c r="AD125" i="24"/>
  <c r="AH125" i="24" s="1"/>
  <c r="AD30" i="26"/>
  <c r="L36" i="26"/>
  <c r="R46" i="26"/>
  <c r="X6" i="26"/>
  <c r="AJ16" i="26"/>
  <c r="X26" i="26"/>
  <c r="AD6" i="26"/>
  <c r="X46" i="26"/>
  <c r="L46" i="26"/>
  <c r="X36" i="26"/>
  <c r="AD16" i="26"/>
  <c r="AJ46" i="26"/>
  <c r="R36" i="26"/>
  <c r="R26" i="26"/>
  <c r="AJ26" i="26"/>
  <c r="AH6" i="24"/>
  <c r="AJ36" i="26"/>
  <c r="R6" i="26"/>
  <c r="AD26" i="26"/>
  <c r="AD36" i="26"/>
  <c r="R16" i="26"/>
  <c r="L6" i="26"/>
  <c r="AJ6" i="26"/>
  <c r="L26" i="26"/>
  <c r="L16" i="26"/>
  <c r="AD46" i="26"/>
  <c r="X16" i="26"/>
  <c r="R18" i="26"/>
  <c r="AF11" i="24"/>
  <c r="AG12" i="24"/>
  <c r="Q53" i="26"/>
  <c r="AC43" i="26"/>
  <c r="Q43" i="26"/>
  <c r="W23" i="26"/>
  <c r="AI53" i="26"/>
  <c r="AI23" i="26"/>
  <c r="AC13" i="26"/>
  <c r="W53" i="26"/>
  <c r="K33" i="26"/>
  <c r="Q23" i="26"/>
  <c r="K43" i="26"/>
  <c r="AC33" i="26"/>
  <c r="AC23" i="26"/>
  <c r="K23" i="26"/>
  <c r="Q33" i="26"/>
  <c r="AI43" i="26"/>
  <c r="AI13" i="26"/>
  <c r="W13" i="26"/>
  <c r="W33" i="26"/>
  <c r="K53" i="26"/>
  <c r="AC53" i="26"/>
  <c r="Q13" i="26"/>
  <c r="K13" i="26"/>
  <c r="AH57" i="24"/>
  <c r="W43" i="26"/>
  <c r="AI33" i="26"/>
  <c r="AD40" i="26"/>
  <c r="AJ30" i="26"/>
  <c r="AC8" i="24"/>
  <c r="AC7" i="24"/>
  <c r="AG187" i="24"/>
  <c r="AF187" i="24" s="1"/>
  <c r="AF186" i="24"/>
  <c r="AG216" i="24"/>
  <c r="AF215" i="24"/>
  <c r="AF41" i="24"/>
  <c r="S40" i="26" s="1"/>
  <c r="AG42" i="24"/>
  <c r="AF180" i="24"/>
  <c r="AG181" i="24"/>
  <c r="AF181" i="24" s="1"/>
  <c r="L28" i="26"/>
  <c r="X15" i="26"/>
  <c r="AJ45" i="26"/>
  <c r="AD15" i="26"/>
  <c r="AJ55" i="26"/>
  <c r="R35" i="26"/>
  <c r="AJ35" i="26"/>
  <c r="R45" i="26"/>
  <c r="AD25" i="26"/>
  <c r="R55" i="26"/>
  <c r="L35" i="26"/>
  <c r="L15" i="26"/>
  <c r="L25" i="26"/>
  <c r="R15" i="26"/>
  <c r="AH70" i="24"/>
  <c r="L45" i="26"/>
  <c r="R25" i="26"/>
  <c r="X35" i="26"/>
  <c r="AD35" i="26"/>
  <c r="AD55" i="26"/>
  <c r="AJ15" i="26"/>
  <c r="X55" i="26"/>
  <c r="AD45" i="26"/>
  <c r="AJ25" i="26"/>
  <c r="X25" i="26"/>
  <c r="L55" i="26"/>
  <c r="X45" i="26"/>
  <c r="R48" i="26"/>
  <c r="AE132" i="24"/>
  <c r="AC133" i="24" s="1"/>
  <c r="AD132" i="24"/>
  <c r="AE37" i="24"/>
  <c r="AD37" i="24"/>
  <c r="X20" i="26"/>
  <c r="AD50" i="26"/>
  <c r="AD174" i="24"/>
  <c r="AE174" i="24"/>
  <c r="AC175" i="24" s="1"/>
  <c r="AG169" i="24"/>
  <c r="AF169" i="24" s="1"/>
  <c r="AF168" i="24"/>
  <c r="AH168" i="24" s="1"/>
  <c r="AG72" i="24"/>
  <c r="AF71" i="24"/>
  <c r="AG252" i="24"/>
  <c r="AF251" i="24"/>
  <c r="AD71" i="24"/>
  <c r="AE71" i="24"/>
  <c r="AC72" i="24" s="1"/>
  <c r="R28" i="26"/>
  <c r="AE169" i="24"/>
  <c r="AD169" i="24"/>
  <c r="AD179" i="24"/>
  <c r="AE179" i="24"/>
  <c r="AC180" i="24" s="1"/>
  <c r="AJ50" i="26"/>
  <c r="AD20" i="26"/>
  <c r="AE222" i="24"/>
  <c r="AC223" i="24" s="1"/>
  <c r="AD222" i="24"/>
  <c r="AH222" i="24" s="1"/>
  <c r="L18" i="26"/>
  <c r="AF173" i="24"/>
  <c r="AH173" i="24" s="1"/>
  <c r="AG174" i="24"/>
  <c r="AD137" i="24"/>
  <c r="AH137" i="24" s="1"/>
  <c r="AE137" i="24"/>
  <c r="AC138" i="24" s="1"/>
  <c r="AJ20" i="26"/>
  <c r="R20" i="26"/>
  <c r="AE65" i="24"/>
  <c r="AC66" i="24" s="1"/>
  <c r="AD65" i="24"/>
  <c r="AD239" i="24"/>
  <c r="AH239" i="24" s="1"/>
  <c r="AE239" i="24"/>
  <c r="AC240" i="24" s="1"/>
  <c r="AE155" i="24"/>
  <c r="AC156" i="24" s="1"/>
  <c r="AD155" i="24"/>
  <c r="AH155" i="24" s="1"/>
  <c r="AF192" i="24"/>
  <c r="AG193" i="24"/>
  <c r="AF193" i="24" s="1"/>
  <c r="AJ18" i="26"/>
  <c r="AE20" i="24"/>
  <c r="AC21" i="24" s="1"/>
  <c r="AD20" i="24"/>
  <c r="X40" i="26"/>
  <c r="AJ40" i="26"/>
  <c r="AC246" i="24"/>
  <c r="AC245" i="24"/>
  <c r="X10" i="26"/>
  <c r="AH27" i="24"/>
  <c r="AG97" i="24"/>
  <c r="AF97" i="24" s="1"/>
  <c r="AF96" i="24"/>
  <c r="AF90" i="24"/>
  <c r="AG91" i="24"/>
  <c r="AF91" i="24" s="1"/>
  <c r="AH118" i="24"/>
  <c r="X38" i="26"/>
  <c r="AH40" i="24"/>
  <c r="AD54" i="24"/>
  <c r="AE54" i="24"/>
  <c r="AC55" i="24" s="1"/>
  <c r="Q27" i="26"/>
  <c r="AI17" i="26"/>
  <c r="Q37" i="26"/>
  <c r="K27" i="26"/>
  <c r="Q17" i="26"/>
  <c r="AI7" i="26"/>
  <c r="W7" i="26"/>
  <c r="K17" i="26"/>
  <c r="Q47" i="26"/>
  <c r="AC7" i="26"/>
  <c r="K47" i="26"/>
  <c r="AC17" i="26"/>
  <c r="AI27" i="26"/>
  <c r="K7" i="26"/>
  <c r="W47" i="26"/>
  <c r="K37" i="26"/>
  <c r="AC27" i="26"/>
  <c r="AC37" i="26"/>
  <c r="W17" i="26"/>
  <c r="AC47" i="26"/>
  <c r="AH16" i="24"/>
  <c r="AI47" i="26"/>
  <c r="W27" i="26"/>
  <c r="Q7" i="26"/>
  <c r="AI37" i="26"/>
  <c r="W37" i="26"/>
  <c r="AF29" i="24"/>
  <c r="AG30" i="24"/>
  <c r="L20" i="26"/>
  <c r="AD209" i="24"/>
  <c r="AE209" i="24"/>
  <c r="AC210" i="24" s="1"/>
  <c r="AE119" i="24"/>
  <c r="AC120" i="24" s="1"/>
  <c r="AD119" i="24"/>
  <c r="AJ28" i="26"/>
  <c r="AF101" i="24"/>
  <c r="AH101" i="24" s="1"/>
  <c r="AG102" i="24"/>
  <c r="AH250" i="24"/>
  <c r="X50" i="26"/>
  <c r="AD215" i="24"/>
  <c r="AE215" i="24"/>
  <c r="AC216" i="24" s="1"/>
  <c r="AH227" i="24"/>
  <c r="AG59" i="24"/>
  <c r="AF58" i="24"/>
  <c r="X28" i="26"/>
  <c r="AG241" i="24"/>
  <c r="AF241" i="24" s="1"/>
  <c r="AF240" i="24"/>
  <c r="L10" i="26"/>
  <c r="AE108" i="24"/>
  <c r="AC109" i="24" s="1"/>
  <c r="AD108" i="24"/>
  <c r="AJ7" i="26"/>
  <c r="L17" i="26"/>
  <c r="AD47" i="26"/>
  <c r="R47" i="26"/>
  <c r="L47" i="26"/>
  <c r="AJ27" i="26"/>
  <c r="R17" i="26"/>
  <c r="AD37" i="26"/>
  <c r="AJ37" i="26"/>
  <c r="X37" i="26"/>
  <c r="R7" i="26"/>
  <c r="X7" i="26"/>
  <c r="L7" i="26"/>
  <c r="X27" i="26"/>
  <c r="R37" i="26"/>
  <c r="L37" i="26"/>
  <c r="AJ47" i="26"/>
  <c r="AH17" i="24"/>
  <c r="L27" i="26"/>
  <c r="X47" i="26"/>
  <c r="AD7" i="26"/>
  <c r="AD27" i="26"/>
  <c r="R27" i="26"/>
  <c r="AJ17" i="26"/>
  <c r="AD17" i="26"/>
  <c r="X17" i="26"/>
  <c r="AE251" i="24"/>
  <c r="AC252" i="24" s="1"/>
  <c r="AD251" i="24"/>
  <c r="AG114" i="24"/>
  <c r="AF113" i="24"/>
  <c r="AH214" i="24"/>
  <c r="AD29" i="24" l="1"/>
  <c r="AK28" i="26" s="1"/>
  <c r="AJ8" i="54"/>
  <c r="AE204" i="24"/>
  <c r="AC205" i="24" s="1"/>
  <c r="AD205" i="24" s="1"/>
  <c r="Z39" i="26"/>
  <c r="AH36" i="24"/>
  <c r="T29" i="26"/>
  <c r="T19" i="26"/>
  <c r="AF9" i="26"/>
  <c r="AF19" i="26"/>
  <c r="AG9" i="54"/>
  <c r="AF9" i="54"/>
  <c r="AJ9" i="54" s="1"/>
  <c r="AF17" i="54"/>
  <c r="AG17" i="54"/>
  <c r="AH15" i="54"/>
  <c r="AJ15" i="54" s="1"/>
  <c r="AI17" i="54"/>
  <c r="AI16" i="54"/>
  <c r="AH16" i="54" s="1"/>
  <c r="AG16" i="54"/>
  <c r="AF16" i="54"/>
  <c r="Z9" i="26"/>
  <c r="AL49" i="26"/>
  <c r="AL19" i="26"/>
  <c r="AF29" i="26"/>
  <c r="AL9" i="26"/>
  <c r="AG229" i="24"/>
  <c r="AF229" i="24" s="1"/>
  <c r="Z19" i="26"/>
  <c r="Z49" i="26"/>
  <c r="AH179" i="24"/>
  <c r="N29" i="26"/>
  <c r="N9" i="26"/>
  <c r="AF39" i="26"/>
  <c r="AF49" i="26"/>
  <c r="Z29" i="26"/>
  <c r="T49" i="26"/>
  <c r="AL39" i="26"/>
  <c r="T39" i="26"/>
  <c r="N49" i="26"/>
  <c r="N39" i="26"/>
  <c r="T9" i="26"/>
  <c r="N19" i="26"/>
  <c r="AG145" i="24"/>
  <c r="AF145" i="24" s="1"/>
  <c r="Y9" i="26"/>
  <c r="AF156" i="24"/>
  <c r="AE186" i="24"/>
  <c r="AC187" i="24" s="1"/>
  <c r="AD186" i="24"/>
  <c r="AH186" i="24" s="1"/>
  <c r="AK49" i="26"/>
  <c r="S49" i="26"/>
  <c r="S29" i="26"/>
  <c r="AK39" i="26"/>
  <c r="S39" i="26"/>
  <c r="M49" i="26"/>
  <c r="AE19" i="26"/>
  <c r="AE39" i="26"/>
  <c r="M39" i="26"/>
  <c r="M29" i="26"/>
  <c r="M9" i="26"/>
  <c r="S9" i="26"/>
  <c r="Y29" i="26"/>
  <c r="AK9" i="26"/>
  <c r="AF54" i="24"/>
  <c r="AL12" i="26" s="1"/>
  <c r="Y19" i="26"/>
  <c r="Y49" i="26"/>
  <c r="AK29" i="26"/>
  <c r="Y39" i="26"/>
  <c r="S19" i="26"/>
  <c r="AE9" i="26"/>
  <c r="AH35" i="24"/>
  <c r="AE49" i="26"/>
  <c r="M19" i="26"/>
  <c r="AE29" i="26"/>
  <c r="AH113" i="24"/>
  <c r="AH161" i="24"/>
  <c r="S10" i="26"/>
  <c r="AE20" i="26"/>
  <c r="AK20" i="26"/>
  <c r="AK40" i="26"/>
  <c r="AK30" i="26"/>
  <c r="AF204" i="24"/>
  <c r="AH204" i="24" s="1"/>
  <c r="AG205" i="24"/>
  <c r="AF205" i="24" s="1"/>
  <c r="AH257" i="24"/>
  <c r="AH234" i="24"/>
  <c r="AH119" i="24"/>
  <c r="AH228" i="24"/>
  <c r="AD258" i="24"/>
  <c r="AE258" i="24"/>
  <c r="AC259" i="24" s="1"/>
  <c r="AE162" i="24"/>
  <c r="AC163" i="24" s="1"/>
  <c r="AD162" i="24"/>
  <c r="AH162" i="24" s="1"/>
  <c r="AF210" i="24"/>
  <c r="AG211" i="24"/>
  <c r="AF211" i="24" s="1"/>
  <c r="AH251" i="24"/>
  <c r="AD114" i="24"/>
  <c r="AE114" i="24"/>
  <c r="AC115" i="24" s="1"/>
  <c r="AH132" i="24"/>
  <c r="AE48" i="24"/>
  <c r="AC49" i="24" s="1"/>
  <c r="AD48" i="24"/>
  <c r="AH144" i="24"/>
  <c r="AF258" i="24"/>
  <c r="AG259" i="24"/>
  <c r="AF259" i="24" s="1"/>
  <c r="AK38" i="26"/>
  <c r="AF20" i="24"/>
  <c r="AH20" i="24" s="1"/>
  <c r="AG21" i="24"/>
  <c r="AF21" i="24" s="1"/>
  <c r="AH209" i="24"/>
  <c r="AE252" i="24"/>
  <c r="AC253" i="24" s="1"/>
  <c r="AD252" i="24"/>
  <c r="AG115" i="24"/>
  <c r="AF115" i="24" s="1"/>
  <c r="AF114" i="24"/>
  <c r="AF30" i="24"/>
  <c r="AL38" i="26" s="1"/>
  <c r="AG31" i="24"/>
  <c r="AF31" i="24" s="1"/>
  <c r="M55" i="26"/>
  <c r="M45" i="26"/>
  <c r="S25" i="26"/>
  <c r="Y25" i="26"/>
  <c r="Y55" i="26"/>
  <c r="Y35" i="26"/>
  <c r="M35" i="26"/>
  <c r="AK15" i="26"/>
  <c r="AE25" i="26"/>
  <c r="AE55" i="26"/>
  <c r="AE15" i="26"/>
  <c r="AK55" i="26"/>
  <c r="S15" i="26"/>
  <c r="AH71" i="24"/>
  <c r="AK35" i="26"/>
  <c r="M25" i="26"/>
  <c r="AK45" i="26"/>
  <c r="AE45" i="26"/>
  <c r="Y45" i="26"/>
  <c r="AK25" i="26"/>
  <c r="Y15" i="26"/>
  <c r="S35" i="26"/>
  <c r="S55" i="26"/>
  <c r="S45" i="26"/>
  <c r="M15" i="26"/>
  <c r="AE35" i="26"/>
  <c r="Y30" i="26"/>
  <c r="AE10" i="26"/>
  <c r="AC90" i="24"/>
  <c r="AC91" i="24"/>
  <c r="AD23" i="24"/>
  <c r="AE23" i="24"/>
  <c r="AC24" i="24" s="1"/>
  <c r="AC151" i="24"/>
  <c r="AC150" i="24"/>
  <c r="M40" i="26"/>
  <c r="Y17" i="26"/>
  <c r="Y37" i="26"/>
  <c r="AK47" i="26"/>
  <c r="AK17" i="26"/>
  <c r="M37" i="26"/>
  <c r="AK27" i="26"/>
  <c r="M17" i="26"/>
  <c r="AE37" i="26"/>
  <c r="AH22" i="24"/>
  <c r="AE47" i="26"/>
  <c r="S37" i="26"/>
  <c r="AK37" i="26"/>
  <c r="M47" i="26"/>
  <c r="Y7" i="26"/>
  <c r="AK7" i="26"/>
  <c r="AE27" i="26"/>
  <c r="Y27" i="26"/>
  <c r="S17" i="26"/>
  <c r="M7" i="26"/>
  <c r="S7" i="26"/>
  <c r="AE17" i="26"/>
  <c r="AE7" i="26"/>
  <c r="M27" i="26"/>
  <c r="S47" i="26"/>
  <c r="Y47" i="26"/>
  <c r="S27" i="26"/>
  <c r="AF108" i="24"/>
  <c r="AH108" i="24" s="1"/>
  <c r="AG109" i="24"/>
  <c r="AF109" i="24" s="1"/>
  <c r="AD103" i="24"/>
  <c r="AE103" i="24"/>
  <c r="AK50" i="26"/>
  <c r="AG175" i="24"/>
  <c r="AF175" i="24" s="1"/>
  <c r="AF174" i="24"/>
  <c r="AH174" i="24" s="1"/>
  <c r="AD31" i="24"/>
  <c r="AE31" i="24"/>
  <c r="AE235" i="24"/>
  <c r="AD235" i="24"/>
  <c r="AH235" i="24" s="1"/>
  <c r="M30" i="26"/>
  <c r="M31" i="26"/>
  <c r="AK41" i="26"/>
  <c r="AE11" i="26"/>
  <c r="AK11" i="26"/>
  <c r="Y51" i="26"/>
  <c r="S41" i="26"/>
  <c r="AE31" i="26"/>
  <c r="AK51" i="26"/>
  <c r="S11" i="26"/>
  <c r="S21" i="26"/>
  <c r="AE21" i="26"/>
  <c r="Y21" i="26"/>
  <c r="M51" i="26"/>
  <c r="AE51" i="26"/>
  <c r="AE41" i="26"/>
  <c r="AK21" i="26"/>
  <c r="AK31" i="26"/>
  <c r="S51" i="26"/>
  <c r="S31" i="26"/>
  <c r="Y11" i="26"/>
  <c r="Y31" i="26"/>
  <c r="M11" i="26"/>
  <c r="M21" i="26"/>
  <c r="Y41" i="26"/>
  <c r="M41" i="26"/>
  <c r="AH47" i="24"/>
  <c r="AD138" i="24"/>
  <c r="AH138" i="24" s="1"/>
  <c r="AE138" i="24"/>
  <c r="AC139" i="24" s="1"/>
  <c r="AF72" i="24"/>
  <c r="AG73" i="24"/>
  <c r="AF73" i="24" s="1"/>
  <c r="M48" i="26"/>
  <c r="AE8" i="26"/>
  <c r="AG49" i="24"/>
  <c r="AF49" i="24" s="1"/>
  <c r="AF48" i="24"/>
  <c r="AE246" i="24"/>
  <c r="AC247" i="24" s="1"/>
  <c r="AD246" i="24"/>
  <c r="AH246" i="24" s="1"/>
  <c r="AD216" i="24"/>
  <c r="AE216" i="24"/>
  <c r="AC217" i="24" s="1"/>
  <c r="AH215" i="24"/>
  <c r="AD21" i="24"/>
  <c r="AE21" i="24"/>
  <c r="R43" i="26"/>
  <c r="AJ13" i="26"/>
  <c r="R53" i="26"/>
  <c r="AJ33" i="26"/>
  <c r="AJ53" i="26"/>
  <c r="L13" i="26"/>
  <c r="L33" i="26"/>
  <c r="AD53" i="26"/>
  <c r="AD13" i="26"/>
  <c r="AD33" i="26"/>
  <c r="AD43" i="26"/>
  <c r="X33" i="26"/>
  <c r="X13" i="26"/>
  <c r="AJ43" i="26"/>
  <c r="X43" i="26"/>
  <c r="R23" i="26"/>
  <c r="X53" i="26"/>
  <c r="L43" i="26"/>
  <c r="R13" i="26"/>
  <c r="AJ23" i="26"/>
  <c r="AD23" i="26"/>
  <c r="X23" i="26"/>
  <c r="AH58" i="24"/>
  <c r="L53" i="26"/>
  <c r="R33" i="26"/>
  <c r="L23" i="26"/>
  <c r="AE55" i="24"/>
  <c r="AD55" i="24"/>
  <c r="AE223" i="24"/>
  <c r="AD223" i="24"/>
  <c r="AH223" i="24" s="1"/>
  <c r="AF42" i="24"/>
  <c r="AF20" i="26" s="1"/>
  <c r="AG43" i="24"/>
  <c r="AF43" i="24" s="1"/>
  <c r="S18" i="26"/>
  <c r="AD126" i="24"/>
  <c r="AH126" i="24" s="1"/>
  <c r="AE126" i="24"/>
  <c r="AC127" i="24" s="1"/>
  <c r="AF66" i="24"/>
  <c r="AG67" i="24"/>
  <c r="AF67" i="24" s="1"/>
  <c r="AF120" i="24"/>
  <c r="AG121" i="24"/>
  <c r="AF121" i="24" s="1"/>
  <c r="Y50" i="26"/>
  <c r="M50" i="26"/>
  <c r="AH11" i="24"/>
  <c r="AF102" i="24"/>
  <c r="AH102" i="24" s="1"/>
  <c r="AG103" i="24"/>
  <c r="AF103" i="24" s="1"/>
  <c r="Y8" i="26"/>
  <c r="AE43" i="24"/>
  <c r="AD43" i="24"/>
  <c r="AE30" i="26"/>
  <c r="AE12" i="24"/>
  <c r="AC13" i="24" s="1"/>
  <c r="AD12" i="24"/>
  <c r="AD245" i="24"/>
  <c r="AH245" i="24" s="1"/>
  <c r="AE245" i="24"/>
  <c r="AD109" i="24"/>
  <c r="AE109" i="24"/>
  <c r="AF12" i="24"/>
  <c r="AG13" i="24"/>
  <c r="AH41" i="24"/>
  <c r="AE18" i="26"/>
  <c r="AE229" i="24"/>
  <c r="AD229" i="24"/>
  <c r="AH192" i="24"/>
  <c r="AE50" i="26"/>
  <c r="AG217" i="24"/>
  <c r="AF217" i="24" s="1"/>
  <c r="AF216" i="24"/>
  <c r="AE193" i="24"/>
  <c r="AD193" i="24"/>
  <c r="AH193" i="24" s="1"/>
  <c r="AE40" i="26"/>
  <c r="M28" i="26"/>
  <c r="AH37" i="24"/>
  <c r="AM49" i="26"/>
  <c r="O49" i="26"/>
  <c r="AG39" i="26"/>
  <c r="AM39" i="26"/>
  <c r="AA49" i="26"/>
  <c r="U49" i="26"/>
  <c r="AM9" i="26"/>
  <c r="AG19" i="26"/>
  <c r="AA39" i="26"/>
  <c r="AA29" i="26"/>
  <c r="U19" i="26"/>
  <c r="AG9" i="26"/>
  <c r="O19" i="26"/>
  <c r="AM29" i="26"/>
  <c r="AG49" i="26"/>
  <c r="U29" i="26"/>
  <c r="AA19" i="26"/>
  <c r="AM19" i="26"/>
  <c r="AG29" i="26"/>
  <c r="O29" i="26"/>
  <c r="U9" i="26"/>
  <c r="O39" i="26"/>
  <c r="AA9" i="26"/>
  <c r="O9" i="26"/>
  <c r="U39" i="26"/>
  <c r="AD210" i="24"/>
  <c r="AE210" i="24"/>
  <c r="AC211" i="24" s="1"/>
  <c r="AE156" i="24"/>
  <c r="AC157" i="24" s="1"/>
  <c r="AD156" i="24"/>
  <c r="AD8" i="24"/>
  <c r="AE8" i="24"/>
  <c r="AE96" i="24"/>
  <c r="AC97" i="24" s="1"/>
  <c r="AD96" i="24"/>
  <c r="AH96" i="24" s="1"/>
  <c r="S20" i="26"/>
  <c r="Y10" i="26"/>
  <c r="AE84" i="24"/>
  <c r="AC85" i="24" s="1"/>
  <c r="AD84" i="24"/>
  <c r="AH84" i="24" s="1"/>
  <c r="AF59" i="24"/>
  <c r="AG61" i="24"/>
  <c r="AF61" i="24" s="1"/>
  <c r="AM33" i="26" s="1"/>
  <c r="AG60" i="24"/>
  <c r="AF60" i="24" s="1"/>
  <c r="AE175" i="24"/>
  <c r="AD175" i="24"/>
  <c r="AD180" i="24"/>
  <c r="AH180" i="24" s="1"/>
  <c r="AE180" i="24"/>
  <c r="AC181" i="24" s="1"/>
  <c r="AE38" i="26"/>
  <c r="S28" i="26"/>
  <c r="S50" i="26"/>
  <c r="M10" i="26"/>
  <c r="AE198" i="24"/>
  <c r="AC199" i="24" s="1"/>
  <c r="AD198" i="24"/>
  <c r="AH198" i="24" s="1"/>
  <c r="AE240" i="24"/>
  <c r="AC241" i="24" s="1"/>
  <c r="AD240" i="24"/>
  <c r="AH240" i="24" s="1"/>
  <c r="Y20" i="26"/>
  <c r="AK10" i="26"/>
  <c r="AH169" i="24"/>
  <c r="AE133" i="24"/>
  <c r="AD133" i="24"/>
  <c r="AH133" i="24" s="1"/>
  <c r="AE48" i="26"/>
  <c r="M38" i="26"/>
  <c r="AH65" i="24"/>
  <c r="S24" i="26"/>
  <c r="AE34" i="26"/>
  <c r="AK44" i="26"/>
  <c r="M54" i="26"/>
  <c r="Y34" i="26"/>
  <c r="M34" i="26"/>
  <c r="Y14" i="26"/>
  <c r="AE54" i="26"/>
  <c r="M24" i="26"/>
  <c r="AK54" i="26"/>
  <c r="S34" i="26"/>
  <c r="M44" i="26"/>
  <c r="S14" i="26"/>
  <c r="AE44" i="26"/>
  <c r="AK24" i="26"/>
  <c r="Y24" i="26"/>
  <c r="Y54" i="26"/>
  <c r="Y44" i="26"/>
  <c r="AE14" i="26"/>
  <c r="M14" i="26"/>
  <c r="AE24" i="26"/>
  <c r="S54" i="26"/>
  <c r="AK34" i="26"/>
  <c r="AK14" i="26"/>
  <c r="S44" i="26"/>
  <c r="S38" i="26"/>
  <c r="AH29" i="24"/>
  <c r="S30" i="26"/>
  <c r="M20" i="26"/>
  <c r="AE78" i="24"/>
  <c r="AC79" i="24" s="1"/>
  <c r="AD78" i="24"/>
  <c r="AH78" i="24" s="1"/>
  <c r="AF252" i="24"/>
  <c r="AG253" i="24"/>
  <c r="AF253" i="24" s="1"/>
  <c r="AE120" i="24"/>
  <c r="AC121" i="24" s="1"/>
  <c r="AD120" i="24"/>
  <c r="AD7" i="24"/>
  <c r="AE7" i="24"/>
  <c r="S8" i="26"/>
  <c r="AD66" i="24"/>
  <c r="AE66" i="24"/>
  <c r="AC67" i="24" s="1"/>
  <c r="AE72" i="24"/>
  <c r="AC73" i="24" s="1"/>
  <c r="AD72" i="24"/>
  <c r="Y38" i="26"/>
  <c r="AD145" i="24"/>
  <c r="AE145" i="24"/>
  <c r="Y40" i="26"/>
  <c r="AK48" i="26" l="1"/>
  <c r="Y28" i="26"/>
  <c r="Y48" i="26"/>
  <c r="S48" i="26"/>
  <c r="AK8" i="26"/>
  <c r="M18" i="26"/>
  <c r="AE28" i="26"/>
  <c r="M8" i="26"/>
  <c r="AK18" i="26"/>
  <c r="Y18" i="26"/>
  <c r="AE205" i="24"/>
  <c r="AJ16" i="54"/>
  <c r="AH17" i="54"/>
  <c r="AJ17" i="54" s="1"/>
  <c r="AI18" i="54"/>
  <c r="AI19" i="54"/>
  <c r="AH19" i="54" s="1"/>
  <c r="AE19" i="54"/>
  <c r="AE18" i="54"/>
  <c r="AH229" i="24"/>
  <c r="AH156" i="24"/>
  <c r="AH145" i="24"/>
  <c r="AF42" i="26"/>
  <c r="T32" i="26"/>
  <c r="AD187" i="24"/>
  <c r="AH187" i="24" s="1"/>
  <c r="AE187" i="24"/>
  <c r="AL32" i="26"/>
  <c r="AL42" i="26"/>
  <c r="AL52" i="26"/>
  <c r="T52" i="26"/>
  <c r="T22" i="26"/>
  <c r="N52" i="26"/>
  <c r="AF22" i="26"/>
  <c r="Z42" i="26"/>
  <c r="AF12" i="26"/>
  <c r="N22" i="26"/>
  <c r="Z52" i="26"/>
  <c r="AH54" i="24"/>
  <c r="AL22" i="26"/>
  <c r="T42" i="26"/>
  <c r="N32" i="26"/>
  <c r="Z22" i="26"/>
  <c r="Z12" i="26"/>
  <c r="AF32" i="26"/>
  <c r="Z32" i="26"/>
  <c r="N12" i="26"/>
  <c r="N42" i="26"/>
  <c r="AF52" i="26"/>
  <c r="T12" i="26"/>
  <c r="AH205" i="24"/>
  <c r="T28" i="26"/>
  <c r="AH258" i="24"/>
  <c r="Z28" i="26"/>
  <c r="AL18" i="26"/>
  <c r="U43" i="26"/>
  <c r="Z18" i="26"/>
  <c r="Z48" i="26"/>
  <c r="AL48" i="26"/>
  <c r="U23" i="26"/>
  <c r="AA13" i="26"/>
  <c r="T48" i="26"/>
  <c r="Z38" i="26"/>
  <c r="AF28" i="26"/>
  <c r="AH61" i="24"/>
  <c r="AH210" i="24"/>
  <c r="N48" i="26"/>
  <c r="N28" i="26"/>
  <c r="AF18" i="26"/>
  <c r="AL50" i="26"/>
  <c r="AL28" i="26"/>
  <c r="AF38" i="26"/>
  <c r="AE259" i="24"/>
  <c r="AD259" i="24"/>
  <c r="AH259" i="24" s="1"/>
  <c r="AM43" i="26"/>
  <c r="AG23" i="26"/>
  <c r="O33" i="26"/>
  <c r="AG13" i="26"/>
  <c r="T18" i="26"/>
  <c r="AL8" i="26"/>
  <c r="AA43" i="26"/>
  <c r="N8" i="26"/>
  <c r="N10" i="26"/>
  <c r="AA53" i="26"/>
  <c r="AA33" i="26"/>
  <c r="AG53" i="26"/>
  <c r="N18" i="26"/>
  <c r="O13" i="26"/>
  <c r="AF30" i="26"/>
  <c r="AF10" i="26"/>
  <c r="T50" i="26"/>
  <c r="AL40" i="26"/>
  <c r="U13" i="26"/>
  <c r="Z20" i="26"/>
  <c r="AH12" i="24"/>
  <c r="AL20" i="26"/>
  <c r="T20" i="26"/>
  <c r="AD49" i="24"/>
  <c r="AA11" i="26" s="1"/>
  <c r="AE49" i="24"/>
  <c r="U33" i="26"/>
  <c r="Z10" i="26"/>
  <c r="AH21" i="24"/>
  <c r="N30" i="26"/>
  <c r="AL10" i="26"/>
  <c r="T8" i="26"/>
  <c r="AH114" i="24"/>
  <c r="AH103" i="24"/>
  <c r="O23" i="26"/>
  <c r="T30" i="26"/>
  <c r="AH30" i="24"/>
  <c r="AH42" i="24"/>
  <c r="AL30" i="26"/>
  <c r="U53" i="26"/>
  <c r="T40" i="26"/>
  <c r="AG43" i="26"/>
  <c r="N20" i="26"/>
  <c r="Z40" i="26"/>
  <c r="AF48" i="26"/>
  <c r="AD115" i="24"/>
  <c r="AH115" i="24" s="1"/>
  <c r="AE115" i="24"/>
  <c r="AA23" i="26"/>
  <c r="O43" i="26"/>
  <c r="AM53" i="26"/>
  <c r="O53" i="26"/>
  <c r="AM13" i="26"/>
  <c r="AM23" i="26"/>
  <c r="AG33" i="26"/>
  <c r="AF40" i="26"/>
  <c r="N38" i="26"/>
  <c r="AE163" i="24"/>
  <c r="AD163" i="24"/>
  <c r="AH163" i="24" s="1"/>
  <c r="AD241" i="24"/>
  <c r="AH241" i="24" s="1"/>
  <c r="AE241" i="24"/>
  <c r="O8" i="26"/>
  <c r="AG8" i="26"/>
  <c r="U38" i="26"/>
  <c r="AM28" i="26"/>
  <c r="U48" i="26"/>
  <c r="AA8" i="26"/>
  <c r="O18" i="26"/>
  <c r="AG28" i="26"/>
  <c r="O28" i="26"/>
  <c r="AH31" i="24"/>
  <c r="AG18" i="26"/>
  <c r="AG38" i="26"/>
  <c r="U28" i="26"/>
  <c r="AA28" i="26"/>
  <c r="AA18" i="26"/>
  <c r="O48" i="26"/>
  <c r="O38" i="26"/>
  <c r="AA38" i="26"/>
  <c r="AM8" i="26"/>
  <c r="AA48" i="26"/>
  <c r="AG48" i="26"/>
  <c r="U8" i="26"/>
  <c r="AM48" i="26"/>
  <c r="AM38" i="26"/>
  <c r="U18" i="26"/>
  <c r="AM18" i="26"/>
  <c r="Z17" i="26"/>
  <c r="T7" i="26"/>
  <c r="N17" i="26"/>
  <c r="AL37" i="26"/>
  <c r="Z27" i="26"/>
  <c r="T47" i="26"/>
  <c r="AL27" i="26"/>
  <c r="N27" i="26"/>
  <c r="AH23" i="24"/>
  <c r="N7" i="26"/>
  <c r="AF37" i="26"/>
  <c r="Z7" i="26"/>
  <c r="AL17" i="26"/>
  <c r="AL47" i="26"/>
  <c r="N47" i="26"/>
  <c r="Z47" i="26"/>
  <c r="Z37" i="26"/>
  <c r="N37" i="26"/>
  <c r="AF7" i="26"/>
  <c r="T17" i="26"/>
  <c r="T37" i="26"/>
  <c r="AF47" i="26"/>
  <c r="AF27" i="26"/>
  <c r="AF17" i="26"/>
  <c r="AL7" i="26"/>
  <c r="T27" i="26"/>
  <c r="AE199" i="24"/>
  <c r="AD199" i="24"/>
  <c r="AH199" i="24" s="1"/>
  <c r="AE90" i="24"/>
  <c r="AD90" i="24"/>
  <c r="AH90" i="24" s="1"/>
  <c r="Z45" i="26"/>
  <c r="AH72" i="24"/>
  <c r="AL25" i="26"/>
  <c r="AF35" i="26"/>
  <c r="AF45" i="26"/>
  <c r="Z25" i="26"/>
  <c r="AL55" i="26"/>
  <c r="N55" i="26"/>
  <c r="T25" i="26"/>
  <c r="AF25" i="26"/>
  <c r="Z35" i="26"/>
  <c r="T15" i="26"/>
  <c r="AL45" i="26"/>
  <c r="Z55" i="26"/>
  <c r="Z15" i="26"/>
  <c r="T45" i="26"/>
  <c r="AL15" i="26"/>
  <c r="N35" i="26"/>
  <c r="AF15" i="26"/>
  <c r="T55" i="26"/>
  <c r="N15" i="26"/>
  <c r="AF55" i="26"/>
  <c r="N45" i="26"/>
  <c r="N25" i="26"/>
  <c r="T35" i="26"/>
  <c r="AL35" i="26"/>
  <c r="AD13" i="24"/>
  <c r="AE13" i="24"/>
  <c r="AC14" i="24" s="1"/>
  <c r="AD85" i="24"/>
  <c r="AH85" i="24" s="1"/>
  <c r="AE85" i="24"/>
  <c r="AD139" i="24"/>
  <c r="AH139" i="24" s="1"/>
  <c r="AE139" i="24"/>
  <c r="AE91" i="24"/>
  <c r="AD91" i="24"/>
  <c r="AH91" i="24" s="1"/>
  <c r="AK46" i="26"/>
  <c r="M16" i="26"/>
  <c r="AE6" i="26"/>
  <c r="AE46" i="26"/>
  <c r="M6" i="26"/>
  <c r="S16" i="26"/>
  <c r="M36" i="26"/>
  <c r="Y36" i="26"/>
  <c r="AK26" i="26"/>
  <c r="AE36" i="26"/>
  <c r="AK36" i="26"/>
  <c r="S26" i="26"/>
  <c r="AE16" i="26"/>
  <c r="S36" i="26"/>
  <c r="Y26" i="26"/>
  <c r="Y16" i="26"/>
  <c r="AK16" i="26"/>
  <c r="S6" i="26"/>
  <c r="AH7" i="24"/>
  <c r="Y6" i="26"/>
  <c r="AK6" i="26"/>
  <c r="AE26" i="26"/>
  <c r="M26" i="26"/>
  <c r="Y46" i="26"/>
  <c r="S46" i="26"/>
  <c r="M46" i="26"/>
  <c r="AD127" i="24"/>
  <c r="AH127" i="24" s="1"/>
  <c r="AE127" i="24"/>
  <c r="AD121" i="24"/>
  <c r="AH121" i="24" s="1"/>
  <c r="AE121" i="24"/>
  <c r="AD67" i="24"/>
  <c r="AE67" i="24"/>
  <c r="AD73" i="24"/>
  <c r="AE73" i="24"/>
  <c r="O30" i="26"/>
  <c r="U20" i="26"/>
  <c r="AG50" i="26"/>
  <c r="AM10" i="26"/>
  <c r="O40" i="26"/>
  <c r="AM20" i="26"/>
  <c r="AG20" i="26"/>
  <c r="O20" i="26"/>
  <c r="AA50" i="26"/>
  <c r="AH43" i="24"/>
  <c r="U50" i="26"/>
  <c r="AA30" i="26"/>
  <c r="O10" i="26"/>
  <c r="U40" i="26"/>
  <c r="AM40" i="26"/>
  <c r="AG40" i="26"/>
  <c r="U30" i="26"/>
  <c r="AA20" i="26"/>
  <c r="AG10" i="26"/>
  <c r="AM50" i="26"/>
  <c r="AA10" i="26"/>
  <c r="AG30" i="26"/>
  <c r="U10" i="26"/>
  <c r="O50" i="26"/>
  <c r="AA40" i="26"/>
  <c r="AM30" i="26"/>
  <c r="AH120" i="24"/>
  <c r="N31" i="26"/>
  <c r="T41" i="26"/>
  <c r="T11" i="26"/>
  <c r="Z21" i="26"/>
  <c r="AF51" i="26"/>
  <c r="T21" i="26"/>
  <c r="AL31" i="26"/>
  <c r="N11" i="26"/>
  <c r="N21" i="26"/>
  <c r="Z51" i="26"/>
  <c r="Z41" i="26"/>
  <c r="AF21" i="26"/>
  <c r="AF11" i="26"/>
  <c r="AL51" i="26"/>
  <c r="N51" i="26"/>
  <c r="N41" i="26"/>
  <c r="AF41" i="26"/>
  <c r="Z31" i="26"/>
  <c r="AF31" i="26"/>
  <c r="AL11" i="26"/>
  <c r="T51" i="26"/>
  <c r="AL21" i="26"/>
  <c r="AH48" i="24"/>
  <c r="T31" i="26"/>
  <c r="AL41" i="26"/>
  <c r="Z11" i="26"/>
  <c r="T36" i="26"/>
  <c r="AL26" i="26"/>
  <c r="N36" i="26"/>
  <c r="AL6" i="26"/>
  <c r="Z6" i="26"/>
  <c r="AF6" i="26"/>
  <c r="Z36" i="26"/>
  <c r="N46" i="26"/>
  <c r="AL16" i="26"/>
  <c r="N16" i="26"/>
  <c r="T16" i="26"/>
  <c r="AL46" i="26"/>
  <c r="N26" i="26"/>
  <c r="AH8" i="24"/>
  <c r="AF16" i="26"/>
  <c r="AF46" i="26"/>
  <c r="Z16" i="26"/>
  <c r="T46" i="26"/>
  <c r="AL36" i="26"/>
  <c r="T26" i="26"/>
  <c r="AF36" i="26"/>
  <c r="Z26" i="26"/>
  <c r="N6" i="26"/>
  <c r="AF26" i="26"/>
  <c r="Z46" i="26"/>
  <c r="T6" i="26"/>
  <c r="AE247" i="24"/>
  <c r="AD247" i="24"/>
  <c r="AH247" i="24" s="1"/>
  <c r="AH216" i="24"/>
  <c r="AG14" i="24"/>
  <c r="AF14" i="24" s="1"/>
  <c r="AF13" i="24"/>
  <c r="AD150" i="24"/>
  <c r="AH150" i="24" s="1"/>
  <c r="AE150" i="24"/>
  <c r="AE97" i="24"/>
  <c r="AD97" i="24"/>
  <c r="AH97" i="24" s="1"/>
  <c r="Z54" i="26"/>
  <c r="T14" i="26"/>
  <c r="AL34" i="26"/>
  <c r="N34" i="26"/>
  <c r="AF34" i="26"/>
  <c r="Z24" i="26"/>
  <c r="N14" i="26"/>
  <c r="Z14" i="26"/>
  <c r="T54" i="26"/>
  <c r="Z44" i="26"/>
  <c r="AH66" i="24"/>
  <c r="N24" i="26"/>
  <c r="AF24" i="26"/>
  <c r="N54" i="26"/>
  <c r="AL44" i="26"/>
  <c r="N44" i="26"/>
  <c r="AF14" i="26"/>
  <c r="T24" i="26"/>
  <c r="T34" i="26"/>
  <c r="Z34" i="26"/>
  <c r="T44" i="26"/>
  <c r="AL24" i="26"/>
  <c r="AF54" i="26"/>
  <c r="AL14" i="26"/>
  <c r="AL54" i="26"/>
  <c r="AF44" i="26"/>
  <c r="AD157" i="24"/>
  <c r="AH157" i="24" s="1"/>
  <c r="AE157" i="24"/>
  <c r="AE181" i="24"/>
  <c r="AD181" i="24"/>
  <c r="AH181" i="24" s="1"/>
  <c r="AH175" i="24"/>
  <c r="AF50" i="26"/>
  <c r="N40" i="26"/>
  <c r="N50" i="26"/>
  <c r="Z30" i="26"/>
  <c r="T38" i="26"/>
  <c r="Z8" i="26"/>
  <c r="AE151" i="24"/>
  <c r="AD151" i="24"/>
  <c r="AH151" i="24" s="1"/>
  <c r="AH252" i="24"/>
  <c r="AD217" i="24"/>
  <c r="AH217" i="24" s="1"/>
  <c r="AE217" i="24"/>
  <c r="AD211" i="24"/>
  <c r="AH211" i="24" s="1"/>
  <c r="AE211" i="24"/>
  <c r="AE79" i="24"/>
  <c r="AD79" i="24"/>
  <c r="AH79" i="24" s="1"/>
  <c r="AL53" i="26"/>
  <c r="AF13" i="26"/>
  <c r="AL23" i="26"/>
  <c r="Z23" i="26"/>
  <c r="T33" i="26"/>
  <c r="AF23" i="26"/>
  <c r="Z33" i="26"/>
  <c r="N43" i="26"/>
  <c r="AH60" i="24"/>
  <c r="T13" i="26"/>
  <c r="Z53" i="26"/>
  <c r="N13" i="26"/>
  <c r="T23" i="26"/>
  <c r="AL13" i="26"/>
  <c r="Z13" i="26"/>
  <c r="AL33" i="26"/>
  <c r="AF53" i="26"/>
  <c r="AL43" i="26"/>
  <c r="T53" i="26"/>
  <c r="T43" i="26"/>
  <c r="AF33" i="26"/>
  <c r="AF43" i="26"/>
  <c r="Z43" i="26"/>
  <c r="N33" i="26"/>
  <c r="N53" i="26"/>
  <c r="N23" i="26"/>
  <c r="T10" i="26"/>
  <c r="AK43" i="26"/>
  <c r="AH59" i="24"/>
  <c r="M43" i="26"/>
  <c r="S33" i="26"/>
  <c r="S53" i="26"/>
  <c r="AK23" i="26"/>
  <c r="AK53" i="26"/>
  <c r="S43" i="26"/>
  <c r="M33" i="26"/>
  <c r="Y13" i="26"/>
  <c r="M53" i="26"/>
  <c r="Y43" i="26"/>
  <c r="AK13" i="26"/>
  <c r="AE43" i="26"/>
  <c r="S23" i="26"/>
  <c r="AE33" i="26"/>
  <c r="Y23" i="26"/>
  <c r="M23" i="26"/>
  <c r="S13" i="26"/>
  <c r="Y53" i="26"/>
  <c r="M13" i="26"/>
  <c r="AK33" i="26"/>
  <c r="AE53" i="26"/>
  <c r="AE23" i="26"/>
  <c r="Y33" i="26"/>
  <c r="AE13" i="26"/>
  <c r="AH109" i="24"/>
  <c r="Z50" i="26"/>
  <c r="AG52" i="26"/>
  <c r="AA32" i="26"/>
  <c r="O52" i="26"/>
  <c r="U32" i="26"/>
  <c r="AH55" i="24"/>
  <c r="AA22" i="26"/>
  <c r="U42" i="26"/>
  <c r="AG42" i="26"/>
  <c r="O12" i="26"/>
  <c r="O32" i="26"/>
  <c r="U22" i="26"/>
  <c r="AM42" i="26"/>
  <c r="O42" i="26"/>
  <c r="AM12" i="26"/>
  <c r="AA52" i="26"/>
  <c r="AM22" i="26"/>
  <c r="U52" i="26"/>
  <c r="O22" i="26"/>
  <c r="AM32" i="26"/>
  <c r="AA42" i="26"/>
  <c r="AA12" i="26"/>
  <c r="AG32" i="26"/>
  <c r="U12" i="26"/>
  <c r="AM52" i="26"/>
  <c r="AG12" i="26"/>
  <c r="AG22" i="26"/>
  <c r="AF8" i="26"/>
  <c r="AD24" i="24"/>
  <c r="AE24" i="24"/>
  <c r="AD253" i="24"/>
  <c r="AH253" i="24" s="1"/>
  <c r="AE253" i="24"/>
  <c r="AG18" i="54" l="1"/>
  <c r="AE20" i="54" s="1"/>
  <c r="AF18" i="54"/>
  <c r="AG19" i="54"/>
  <c r="AF19" i="54"/>
  <c r="AJ19" i="54" s="1"/>
  <c r="AH18" i="54"/>
  <c r="AI20" i="54"/>
  <c r="AM31" i="26"/>
  <c r="AA51" i="26"/>
  <c r="AG21" i="26"/>
  <c r="U21" i="26"/>
  <c r="AM51" i="26"/>
  <c r="AM11" i="26"/>
  <c r="AM41" i="26"/>
  <c r="O31" i="26"/>
  <c r="U11" i="26"/>
  <c r="U41" i="26"/>
  <c r="AA21" i="26"/>
  <c r="U31" i="26"/>
  <c r="AM21" i="26"/>
  <c r="AA41" i="26"/>
  <c r="U51" i="26"/>
  <c r="AH49" i="24"/>
  <c r="O51" i="26"/>
  <c r="AG41" i="26"/>
  <c r="O21" i="26"/>
  <c r="O41" i="26"/>
  <c r="AG51" i="26"/>
  <c r="O11" i="26"/>
  <c r="AG11" i="26"/>
  <c r="AA31" i="26"/>
  <c r="AG31" i="26"/>
  <c r="AE14" i="24"/>
  <c r="AD14" i="24"/>
  <c r="AH14" i="24" s="1"/>
  <c r="AM55" i="26"/>
  <c r="U35" i="26"/>
  <c r="AA55" i="26"/>
  <c r="O25" i="26"/>
  <c r="AM15" i="26"/>
  <c r="AH73" i="24"/>
  <c r="O35" i="26"/>
  <c r="AG45" i="26"/>
  <c r="AG35" i="26"/>
  <c r="AM35" i="26"/>
  <c r="AG25" i="26"/>
  <c r="AA35" i="26"/>
  <c r="AM45" i="26"/>
  <c r="U15" i="26"/>
  <c r="AA45" i="26"/>
  <c r="AM25" i="26"/>
  <c r="O45" i="26"/>
  <c r="AG55" i="26"/>
  <c r="AG15" i="26"/>
  <c r="U25" i="26"/>
  <c r="U55" i="26"/>
  <c r="O15" i="26"/>
  <c r="U45" i="26"/>
  <c r="AA25" i="26"/>
  <c r="AA15" i="26"/>
  <c r="O55" i="26"/>
  <c r="AH13" i="24"/>
  <c r="AA27" i="26"/>
  <c r="AG37" i="26"/>
  <c r="U47" i="26"/>
  <c r="AM37" i="26"/>
  <c r="O27" i="26"/>
  <c r="AM27" i="26"/>
  <c r="AM7" i="26"/>
  <c r="AM47" i="26"/>
  <c r="O37" i="26"/>
  <c r="AM17" i="26"/>
  <c r="AG17" i="26"/>
  <c r="U17" i="26"/>
  <c r="U27" i="26"/>
  <c r="O17" i="26"/>
  <c r="AA17" i="26"/>
  <c r="U7" i="26"/>
  <c r="O47" i="26"/>
  <c r="AH24" i="24"/>
  <c r="AG47" i="26"/>
  <c r="AA37" i="26"/>
  <c r="AA47" i="26"/>
  <c r="U37" i="26"/>
  <c r="AG7" i="26"/>
  <c r="AG27" i="26"/>
  <c r="O7" i="26"/>
  <c r="AA7" i="26"/>
  <c r="AA34" i="26"/>
  <c r="AM24" i="26"/>
  <c r="AA54" i="26"/>
  <c r="O34" i="26"/>
  <c r="U24" i="26"/>
  <c r="AG54" i="26"/>
  <c r="AM54" i="26"/>
  <c r="AM34" i="26"/>
  <c r="AG44" i="26"/>
  <c r="O44" i="26"/>
  <c r="U14" i="26"/>
  <c r="AH67" i="24"/>
  <c r="AA24" i="26"/>
  <c r="AG14" i="26"/>
  <c r="O14" i="26"/>
  <c r="U34" i="26"/>
  <c r="AG24" i="26"/>
  <c r="U54" i="26"/>
  <c r="AA14" i="26"/>
  <c r="U44" i="26"/>
  <c r="O54" i="26"/>
  <c r="O24" i="26"/>
  <c r="AM44" i="26"/>
  <c r="AG34" i="26"/>
  <c r="AM14" i="26"/>
  <c r="AA44" i="26"/>
  <c r="AF20" i="54" l="1"/>
  <c r="AG20" i="54"/>
  <c r="AH20" i="54"/>
  <c r="AI21" i="54"/>
  <c r="AH21" i="54" s="1"/>
  <c r="AI22" i="54"/>
  <c r="AJ18" i="54"/>
  <c r="AJ20" i="54" l="1"/>
  <c r="AE21" i="54"/>
  <c r="AE22" i="54"/>
  <c r="AI23" i="54"/>
  <c r="AH22" i="54"/>
  <c r="AG21" i="54" l="1"/>
  <c r="AF21" i="54"/>
  <c r="AJ21" i="54" s="1"/>
  <c r="AH23" i="54"/>
  <c r="AI24" i="54"/>
  <c r="AH24" i="54" s="1"/>
  <c r="AF22" i="54"/>
  <c r="AJ22" i="54" s="1"/>
  <c r="AG22" i="54"/>
  <c r="AE23" i="54" s="1"/>
  <c r="AG23" i="54" l="1"/>
  <c r="AE24" i="54" s="1"/>
  <c r="AF23" i="54"/>
  <c r="AJ23" i="54" s="1"/>
  <c r="AF24" i="54" l="1"/>
  <c r="AJ24" i="54" s="1"/>
  <c r="AG24" i="54"/>
  <c r="AE25" i="54" s="1"/>
  <c r="AF25" i="54" l="1"/>
  <c r="AJ25" i="54" s="1"/>
  <c r="AG25" i="54"/>
  <c r="AE26" i="54" s="1"/>
  <c r="AG26" i="54" l="1"/>
  <c r="AE27" i="54" s="1"/>
  <c r="AF26" i="54"/>
  <c r="AJ26" i="54" s="1"/>
  <c r="AF27" i="54" l="1"/>
  <c r="AJ27" i="54" s="1"/>
  <c r="AG27" i="54"/>
  <c r="AE28" i="54" s="1"/>
  <c r="AF28" i="54" l="1"/>
  <c r="AJ28" i="54" s="1"/>
  <c r="AG28" i="54"/>
  <c r="AE29" i="54" s="1"/>
  <c r="AF29" i="54" l="1"/>
  <c r="AJ29" i="54" s="1"/>
  <c r="AG29" i="54"/>
  <c r="AE30" i="54" s="1"/>
  <c r="AG30" i="54" l="1"/>
  <c r="AE31" i="54" s="1"/>
  <c r="AF30" i="54"/>
  <c r="AJ30" i="54" s="1"/>
  <c r="AG31" i="54" l="1"/>
  <c r="AE32" i="54" s="1"/>
  <c r="AF31" i="54"/>
  <c r="AJ31" i="54" s="1"/>
  <c r="AF32" i="54" l="1"/>
  <c r="AJ32" i="54" s="1"/>
  <c r="AG32" i="54"/>
  <c r="AE33" i="54" s="1"/>
  <c r="AF33" i="54" l="1"/>
  <c r="AJ33" i="54" s="1"/>
  <c r="AG33" i="54"/>
  <c r="B222" i="28"/>
  <c r="J38" i="52"/>
  <c r="J30" i="52"/>
  <c r="J22" i="52"/>
  <c r="J14" i="52"/>
  <c r="J6" i="52"/>
  <c r="AD14"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tc={887E5977-ECAA-4066-ACD7-AFBF733747BB}</author>
  </authors>
  <commentList>
    <comment ref="AN2" authorId="0" shapeId="0" xr:uid="{887E5977-ECAA-4066-ACD7-AFBF733747B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relaciona el indicador de proceso.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tc={E6B6DB56-6478-49C6-A056-18A318F20E3A}</author>
  </authors>
  <commentList>
    <comment ref="AO2" authorId="0" shapeId="0" xr:uid="{E6B6DB56-6478-49C6-A056-18A318F20E3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relaciona el indicador de proceso.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10" authorId="0" shapeId="0" xr:uid="{00000000-0006-0000-0700-000001000000}">
      <text>
        <r>
          <rPr>
            <sz val="9"/>
            <color indexed="81"/>
            <rFont val="Tahoma"/>
            <family val="2"/>
          </rPr>
          <t>Identificador del Riesgo</t>
        </r>
      </text>
    </comment>
    <comment ref="A15" authorId="0" shapeId="0" xr:uid="{00000000-0006-0000-0700-000002000000}">
      <text>
        <r>
          <rPr>
            <sz val="9"/>
            <color indexed="81"/>
            <rFont val="Tahoma"/>
            <family val="2"/>
          </rPr>
          <t>Aplica para los riesgos de seguridad digital</t>
        </r>
      </text>
    </comment>
    <comment ref="A16" authorId="0" shapeId="0" xr:uid="{00000000-0006-0000-0700-000003000000}">
      <text>
        <r>
          <rPr>
            <sz val="9"/>
            <color indexed="81"/>
            <rFont val="Tahoma"/>
            <family val="2"/>
          </rPr>
          <t>Fuentes</t>
        </r>
      </text>
    </comment>
    <comment ref="A17" authorId="0" shapeId="0" xr:uid="{00000000-0006-0000-0700-000004000000}">
      <text>
        <r>
          <rPr>
            <sz val="9"/>
            <color indexed="81"/>
            <rFont val="Tahoma"/>
            <family val="2"/>
          </rPr>
          <t>Fuentes</t>
        </r>
      </text>
    </comment>
    <comment ref="A18" authorId="0" shapeId="0" xr:uid="{00000000-0006-0000-0700-000005000000}">
      <text>
        <r>
          <rPr>
            <sz val="9"/>
            <color indexed="81"/>
            <rFont val="Tahoma"/>
            <family val="2"/>
          </rPr>
          <t>Aplica para los riesgos de seguridad digital</t>
        </r>
      </text>
    </comment>
    <comment ref="A26" authorId="0" shapeId="0" xr:uid="{00000000-0006-0000-0700-000006000000}">
      <text>
        <r>
          <rPr>
            <sz val="9"/>
            <color indexed="81"/>
            <rFont val="Tahoma"/>
            <family val="2"/>
          </rPr>
          <t>ERCA</t>
        </r>
      </text>
    </comment>
    <comment ref="A30" authorId="0" shapeId="0" xr:uid="{00000000-0006-0000-0700-000007000000}">
      <text>
        <r>
          <rPr>
            <sz val="9"/>
            <color indexed="81"/>
            <rFont val="Tahoma"/>
            <family val="2"/>
          </rPr>
          <t>A_responsable</t>
        </r>
      </text>
    </comment>
    <comment ref="A31" authorId="0" shapeId="0" xr:uid="{00000000-0006-0000-0700-000008000000}">
      <text>
        <r>
          <rPr>
            <sz val="9"/>
            <color indexed="81"/>
            <rFont val="Tahoma"/>
            <family val="2"/>
          </rPr>
          <t>S_responsable</t>
        </r>
      </text>
    </comment>
    <comment ref="A32" authorId="0" shapeId="0" xr:uid="{00000000-0006-0000-0700-000009000000}">
      <text>
        <r>
          <rPr>
            <sz val="9"/>
            <color indexed="81"/>
            <rFont val="Tahoma"/>
            <family val="2"/>
          </rPr>
          <t>Periodicidad</t>
        </r>
      </text>
    </comment>
    <comment ref="A33" authorId="0" shapeId="0" xr:uid="{00000000-0006-0000-0700-00000A000000}">
      <text>
        <r>
          <rPr>
            <sz val="9"/>
            <color indexed="81"/>
            <rFont val="Tahoma"/>
            <family val="2"/>
          </rPr>
          <t>Propósito</t>
        </r>
      </text>
    </comment>
    <comment ref="A34" authorId="0" shapeId="0" xr:uid="{00000000-0006-0000-0700-00000B000000}">
      <text>
        <r>
          <rPr>
            <sz val="9"/>
            <color indexed="81"/>
            <rFont val="Tahoma"/>
            <family val="2"/>
          </rPr>
          <t>Act_control</t>
        </r>
      </text>
    </comment>
    <comment ref="A35" authorId="0" shapeId="0" xr:uid="{00000000-0006-0000-0700-00000C000000}">
      <text>
        <r>
          <rPr>
            <sz val="9"/>
            <color indexed="81"/>
            <rFont val="Tahoma"/>
            <family val="2"/>
          </rPr>
          <t>Desviaciones</t>
        </r>
      </text>
    </comment>
    <comment ref="A36" authorId="0" shapeId="0" xr:uid="{00000000-0006-0000-0700-00000D000000}">
      <text>
        <r>
          <rPr>
            <sz val="9"/>
            <color indexed="81"/>
            <rFont val="Tahoma"/>
            <family val="2"/>
          </rPr>
          <t>Evidencia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R1" authorId="0" shapeId="0" xr:uid="{00000000-0006-0000-0900-000001000000}">
      <text>
        <r>
          <rPr>
            <sz val="9"/>
            <color indexed="81"/>
            <rFont val="Tahoma"/>
            <family val="2"/>
          </rPr>
          <t>Si esta respuesta es afirmativa el impacto es catastrófico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2" authorId="0" shapeId="0" xr:uid="{9000AEF6-9D62-4505-96C7-BC2096AC3D24}">
      <text>
        <r>
          <rPr>
            <sz val="9"/>
            <color indexed="81"/>
            <rFont val="Tahoma"/>
            <family val="2"/>
          </rPr>
          <t>Identificador del Riesgo</t>
        </r>
      </text>
    </comment>
    <comment ref="C2" authorId="0" shapeId="0" xr:uid="{68BA4FFE-B3B9-42BF-9D59-622555145162}">
      <text>
        <r>
          <rPr>
            <sz val="9"/>
            <color indexed="81"/>
            <rFont val="Tahoma"/>
            <family val="2"/>
          </rPr>
          <t xml:space="preserve">Código que arroja Isolución al momento de identificar el riesgo. </t>
        </r>
      </text>
    </comment>
    <comment ref="J2" authorId="0" shapeId="0" xr:uid="{80669556-CE7C-4E00-84DA-3417D2698B97}">
      <text>
        <r>
          <rPr>
            <sz val="9"/>
            <color indexed="81"/>
            <rFont val="Tahoma"/>
            <family val="2"/>
          </rPr>
          <t>Aplica para los riesgos de seguridad digital</t>
        </r>
      </text>
    </comment>
    <comment ref="K2" authorId="0" shapeId="0" xr:uid="{3CA90CE4-D97F-4F12-8579-1FB2170C4C11}">
      <text>
        <r>
          <rPr>
            <sz val="9"/>
            <color indexed="81"/>
            <rFont val="Tahoma"/>
            <family val="2"/>
          </rPr>
          <t>Fuentes</t>
        </r>
      </text>
    </comment>
    <comment ref="L2" authorId="0" shapeId="0" xr:uid="{92D6BB4F-F093-4129-8600-A03009FCA479}">
      <text>
        <r>
          <rPr>
            <sz val="9"/>
            <color indexed="81"/>
            <rFont val="Tahoma"/>
            <family val="2"/>
          </rPr>
          <t>Fuentes</t>
        </r>
      </text>
    </comment>
    <comment ref="M2" authorId="0" shapeId="0" xr:uid="{E758EB42-C569-4425-9AD5-4A6F09608E7A}">
      <text>
        <r>
          <rPr>
            <sz val="9"/>
            <color indexed="81"/>
            <rFont val="Tahoma"/>
            <family val="2"/>
          </rPr>
          <t>Aplica para los riesgos de seguridad digital</t>
        </r>
      </text>
    </comment>
    <comment ref="S2" authorId="0" shapeId="0" xr:uid="{53C71944-0980-43E4-8EA4-0D7387C1EB06}">
      <text>
        <r>
          <rPr>
            <sz val="9"/>
            <color indexed="81"/>
            <rFont val="Tahoma"/>
            <family val="2"/>
          </rPr>
          <t>ERCA</t>
        </r>
      </text>
    </comment>
    <comment ref="W2" authorId="0" shapeId="0" xr:uid="{5973CAD8-831C-4853-92BD-430A0F40A349}">
      <text>
        <r>
          <rPr>
            <sz val="9"/>
            <color indexed="81"/>
            <rFont val="Tahoma"/>
            <family val="2"/>
          </rPr>
          <t>A_responsable</t>
        </r>
      </text>
    </comment>
    <comment ref="X2" authorId="0" shapeId="0" xr:uid="{B73D5695-16C9-4B4E-9B61-7B9278C0022B}">
      <text>
        <r>
          <rPr>
            <sz val="9"/>
            <color indexed="81"/>
            <rFont val="Tahoma"/>
            <family val="2"/>
          </rPr>
          <t>S_responsable</t>
        </r>
      </text>
    </comment>
    <comment ref="Y2" authorId="0" shapeId="0" xr:uid="{5BD41BEB-694F-4E41-A105-0B3D31789D74}">
      <text>
        <r>
          <rPr>
            <sz val="9"/>
            <color indexed="81"/>
            <rFont val="Tahoma"/>
            <family val="2"/>
          </rPr>
          <t>Periodicidad</t>
        </r>
      </text>
    </comment>
    <comment ref="Z2" authorId="0" shapeId="0" xr:uid="{13B68034-293E-40F0-AC92-1FEDFFAB4566}">
      <text>
        <r>
          <rPr>
            <sz val="9"/>
            <color indexed="81"/>
            <rFont val="Tahoma"/>
            <family val="2"/>
          </rPr>
          <t>Propósito</t>
        </r>
      </text>
    </comment>
    <comment ref="AA2" authorId="0" shapeId="0" xr:uid="{EE04A739-23D1-42E1-89B1-DE56AF8A16C6}">
      <text>
        <r>
          <rPr>
            <sz val="9"/>
            <color indexed="81"/>
            <rFont val="Tahoma"/>
            <family val="2"/>
          </rPr>
          <t>Act_control</t>
        </r>
      </text>
    </comment>
    <comment ref="AB2" authorId="0" shapeId="0" xr:uid="{7ECBB9F5-EBD8-4AB5-BF97-0BA6385376DD}">
      <text>
        <r>
          <rPr>
            <sz val="9"/>
            <color indexed="81"/>
            <rFont val="Tahoma"/>
            <family val="2"/>
          </rPr>
          <t>Desviaciones</t>
        </r>
      </text>
    </comment>
    <comment ref="AC2" authorId="0" shapeId="0" xr:uid="{B677CE75-88DC-4705-A046-F3BE4D3BB429}">
      <text>
        <r>
          <rPr>
            <sz val="9"/>
            <color indexed="81"/>
            <rFont val="Tahoma"/>
            <family val="2"/>
          </rPr>
          <t>Evidencia</t>
        </r>
      </text>
    </comment>
    <comment ref="AR2" authorId="0" shapeId="0" xr:uid="{4115E20A-7199-4E8A-A613-1E3D93A3AE71}">
      <text>
        <r>
          <rPr>
            <sz val="9"/>
            <color indexed="81"/>
            <rFont val="Tahoma"/>
            <family val="2"/>
          </rPr>
          <t>Promediar los controles de un mismo riesgo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1" authorId="0" shapeId="0" xr:uid="{00000000-0006-0000-0C00-000001000000}">
      <text>
        <r>
          <rPr>
            <sz val="9"/>
            <color indexed="81"/>
            <rFont val="Tahoma"/>
            <family val="2"/>
          </rPr>
          <t>N_Impacto</t>
        </r>
      </text>
    </comment>
    <comment ref="H1" authorId="0" shapeId="0" xr:uid="{00000000-0006-0000-0C00-000002000000}">
      <text>
        <r>
          <rPr>
            <sz val="9"/>
            <color indexed="81"/>
            <rFont val="Tahoma"/>
            <family val="2"/>
          </rPr>
          <t>Eje X</t>
        </r>
      </text>
    </comment>
    <comment ref="A8" authorId="0" shapeId="0" xr:uid="{00000000-0006-0000-0C00-000003000000}">
      <text>
        <r>
          <rPr>
            <sz val="9"/>
            <color indexed="81"/>
            <rFont val="Tahoma"/>
            <family val="2"/>
          </rPr>
          <t>C_Externo</t>
        </r>
      </text>
    </comment>
    <comment ref="G10" authorId="0" shapeId="0" xr:uid="{00000000-0006-0000-0C00-000004000000}">
      <text>
        <r>
          <rPr>
            <sz val="9"/>
            <color indexed="81"/>
            <rFont val="Tahoma"/>
            <family val="2"/>
          </rPr>
          <t>N_Probabilidad</t>
        </r>
      </text>
    </comment>
    <comment ref="H10" authorId="0" shapeId="0" xr:uid="{00000000-0006-0000-0C00-000005000000}">
      <text>
        <r>
          <rPr>
            <sz val="9"/>
            <color indexed="81"/>
            <rFont val="Tahoma"/>
            <family val="2"/>
          </rPr>
          <t>Eje Y</t>
        </r>
      </text>
    </comment>
    <comment ref="A18" authorId="0" shapeId="0" xr:uid="{00000000-0006-0000-0C00-000006000000}">
      <text>
        <r>
          <rPr>
            <sz val="9"/>
            <color indexed="81"/>
            <rFont val="Tahoma"/>
            <family val="2"/>
          </rPr>
          <t>C_Interno</t>
        </r>
      </text>
    </comment>
    <comment ref="D26" authorId="0" shapeId="0" xr:uid="{00000000-0006-0000-0C00-000007000000}">
      <text>
        <r>
          <rPr>
            <sz val="9"/>
            <color indexed="81"/>
            <rFont val="Tahoma"/>
            <family val="2"/>
          </rPr>
          <t>Si esta respuesta es afirmativa el impacto es catastrófico</t>
        </r>
      </text>
    </comment>
    <comment ref="A28" authorId="0" shapeId="0" xr:uid="{00000000-0006-0000-0C00-000008000000}">
      <text>
        <r>
          <rPr>
            <sz val="9"/>
            <color indexed="81"/>
            <rFont val="Tahoma"/>
            <family val="2"/>
          </rPr>
          <t>C_Proceso</t>
        </r>
      </text>
    </comment>
    <comment ref="C32" authorId="0" shapeId="0" xr:uid="{00000000-0006-0000-0C00-000009000000}">
      <text>
        <r>
          <rPr>
            <sz val="9"/>
            <color indexed="81"/>
            <rFont val="Tahoma"/>
            <family val="2"/>
          </rPr>
          <t>P_ejecución</t>
        </r>
      </text>
    </comment>
    <comment ref="A39" authorId="0" shapeId="0" xr:uid="{00000000-0006-0000-0C00-00000A000000}">
      <text>
        <r>
          <rPr>
            <sz val="9"/>
            <color indexed="81"/>
            <rFont val="Tahoma"/>
            <family val="2"/>
          </rPr>
          <t>Tipología</t>
        </r>
      </text>
    </comment>
    <comment ref="A53" authorId="0" shapeId="0" xr:uid="{00000000-0006-0000-0C00-00000B000000}">
      <text>
        <r>
          <rPr>
            <sz val="9"/>
            <color indexed="81"/>
            <rFont val="Tahoma"/>
            <family val="2"/>
          </rPr>
          <t>T_Proceso</t>
        </r>
      </text>
    </comment>
    <comment ref="A60" authorId="0" shapeId="0" xr:uid="{00000000-0006-0000-0C00-00000C000000}">
      <text>
        <r>
          <rPr>
            <sz val="9"/>
            <color indexed="81"/>
            <rFont val="Tahoma"/>
            <family val="2"/>
          </rPr>
          <t>RespuestaC</t>
        </r>
      </text>
    </comment>
    <comment ref="A64" authorId="0" shapeId="0" xr:uid="{00000000-0006-0000-0C00-00000D000000}">
      <text>
        <r>
          <rPr>
            <sz val="9"/>
            <color indexed="81"/>
            <rFont val="Tahoma"/>
            <family val="2"/>
          </rPr>
          <t>A_responsable</t>
        </r>
      </text>
    </comment>
    <comment ref="A68" authorId="0" shapeId="0" xr:uid="{00000000-0006-0000-0C00-00000E000000}">
      <text>
        <r>
          <rPr>
            <sz val="9"/>
            <color indexed="81"/>
            <rFont val="Tahoma"/>
            <family val="2"/>
          </rPr>
          <t>S_responsable</t>
        </r>
      </text>
    </comment>
    <comment ref="A72" authorId="0" shapeId="0" xr:uid="{00000000-0006-0000-0C00-00000F000000}">
      <text>
        <r>
          <rPr>
            <sz val="9"/>
            <color indexed="81"/>
            <rFont val="Tahoma"/>
            <family val="2"/>
          </rPr>
          <t>Periodicidad</t>
        </r>
      </text>
    </comment>
    <comment ref="A76" authorId="0" shapeId="0" xr:uid="{00000000-0006-0000-0C00-000010000000}">
      <text>
        <r>
          <rPr>
            <sz val="9"/>
            <color indexed="81"/>
            <rFont val="Tahoma"/>
            <family val="2"/>
          </rPr>
          <t>Propósito</t>
        </r>
      </text>
    </comment>
    <comment ref="A81" authorId="0" shapeId="0" xr:uid="{00000000-0006-0000-0C00-000011000000}">
      <text>
        <r>
          <rPr>
            <sz val="9"/>
            <color indexed="81"/>
            <rFont val="Tahoma"/>
            <family val="2"/>
          </rPr>
          <t>Act_control</t>
        </r>
      </text>
    </comment>
    <comment ref="A85" authorId="0" shapeId="0" xr:uid="{00000000-0006-0000-0C00-000012000000}">
      <text>
        <r>
          <rPr>
            <sz val="9"/>
            <color indexed="81"/>
            <rFont val="Tahoma"/>
            <family val="2"/>
          </rPr>
          <t>Desviaciones</t>
        </r>
      </text>
    </comment>
    <comment ref="A89" authorId="0" shapeId="0" xr:uid="{00000000-0006-0000-0C00-000013000000}">
      <text>
        <r>
          <rPr>
            <sz val="9"/>
            <color indexed="81"/>
            <rFont val="Tahoma"/>
            <family val="2"/>
          </rPr>
          <t>Evidencia</t>
        </r>
      </text>
    </comment>
    <comment ref="A94" authorId="0" shapeId="0" xr:uid="{00000000-0006-0000-0C00-000014000000}">
      <text>
        <r>
          <rPr>
            <sz val="9"/>
            <color indexed="81"/>
            <rFont val="Tahoma"/>
            <family val="2"/>
          </rPr>
          <t>T_Control</t>
        </r>
      </text>
    </comment>
    <comment ref="A98" authorId="0" shapeId="0" xr:uid="{00000000-0006-0000-0C00-000015000000}">
      <text>
        <r>
          <rPr>
            <sz val="9"/>
            <color indexed="81"/>
            <rFont val="Tahoma"/>
            <family val="2"/>
          </rPr>
          <t>Tratamiento_R</t>
        </r>
      </text>
    </comment>
    <comment ref="A104" authorId="0" shapeId="0" xr:uid="{00000000-0006-0000-0C00-000016000000}">
      <text>
        <r>
          <rPr>
            <sz val="9"/>
            <color indexed="81"/>
            <rFont val="Tahoma"/>
            <family val="2"/>
          </rPr>
          <t>Nivel_R</t>
        </r>
      </text>
    </comment>
    <comment ref="A110" authorId="0" shapeId="0" xr:uid="{00000000-0006-0000-0C00-000017000000}">
      <text>
        <r>
          <rPr>
            <sz val="9"/>
            <color indexed="81"/>
            <rFont val="Tahoma"/>
            <family val="2"/>
          </rPr>
          <t>Influencia_C</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H27" authorId="0" shapeId="0" xr:uid="{00000000-0006-0000-0D00-000001000000}">
      <text>
        <r>
          <rPr>
            <sz val="9"/>
            <color indexed="81"/>
            <rFont val="Tahoma"/>
            <family val="2"/>
          </rPr>
          <t>Tipología</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<sst xmlns="http://schemas.openxmlformats.org/spreadsheetml/2006/main" count="10684" uniqueCount="2250">
  <si>
    <t>Matriz de Calor Inherente</t>
  </si>
  <si>
    <t>Impacto</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</si>
  <si>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</si>
  <si>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</si>
  <si>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</si>
  <si>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</si>
  <si>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</si>
  <si>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</si>
  <si>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</si>
  <si>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</si>
  <si>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</si>
  <si>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</si>
  <si>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</si>
  <si>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</si>
  <si>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</si>
  <si>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</si>
  <si>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</si>
  <si>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</si>
  <si>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
  </si>
  <si>
    <t>CONTROL DE CAMBIOS</t>
  </si>
  <si>
    <t>FECHA Y RESPONSABLE DE LA SOLICITUD DE CAMBIO</t>
  </si>
  <si>
    <t>CAMBIOS REALIZADOS</t>
  </si>
  <si>
    <t>CIGD Y FECHA DE APROBACIÓN</t>
  </si>
  <si>
    <r>
      <rPr>
        <b/>
        <sz val="11"/>
        <color rgb="FF000000"/>
        <rFont val="Arial"/>
      </rPr>
      <t>Proceso M-01 Servicio de calibración y medición metrológica</t>
    </r>
    <r>
      <rPr>
        <sz val="11"/>
        <color rgb="FF000000"/>
        <rFont val="Arial"/>
      </rPr>
      <t xml:space="preserve">: Correo electrónico por parte de la SMF enviado el 2026-03-16
</t>
    </r>
    <r>
      <rPr>
        <b/>
        <sz val="11"/>
        <color rgb="FF000000"/>
        <rFont val="Arial"/>
      </rPr>
      <t>Proceso de control disciplinario:</t>
    </r>
    <r>
      <rPr>
        <sz val="11"/>
        <color rgb="FF000000"/>
        <rFont val="Arial"/>
      </rPr>
      <t xml:space="preserve"> Correo electrónico por parte del secretario general el 2026-04-09
Estos correos fueron enviados al profesional universitario 09 de la OAP.
</t>
    </r>
  </si>
  <si>
    <r>
      <rPr>
        <b/>
        <sz val="11"/>
        <color rgb="FF7030A0"/>
        <rFont val="Arial"/>
      </rPr>
      <t xml:space="preserve">Matriz de riesgo de gestión: 
</t>
    </r>
    <r>
      <rPr>
        <b/>
        <sz val="11"/>
        <color rgb="FF000000"/>
        <rFont val="Arial"/>
      </rPr>
      <t xml:space="preserve">Proceso M-01 Servicios de calibración y sistemas de medición
</t>
    </r>
    <r>
      <rPr>
        <sz val="11"/>
        <color rgb="FF000000"/>
        <rFont val="Arial"/>
      </rPr>
      <t xml:space="preserve">Se actualizan los riesgos M01-R2, M01-R3, M01-R4, M01-R6, M01-R8 principalmente en la descripción del riesgo, identificación de causas inmediatas o raices, cambios en algunos controles y para todos los riesgos se agregó el indicador clave de riesgos y las observaciones respectivas en las acciones para abordar riesgo. 
</t>
    </r>
    <r>
      <rPr>
        <b/>
        <sz val="11"/>
        <color rgb="FF000000"/>
        <rFont val="Arial"/>
      </rPr>
      <t xml:space="preserve">Proceso A-06 Control disciplinario      
</t>
    </r>
    <r>
      <rPr>
        <sz val="11"/>
        <color rgb="FF000000"/>
        <rFont val="Arial"/>
      </rPr>
      <t xml:space="preserve">Se actualiza el riesgo A06-R2 en todas sus etapas, se raliza una evaluación en todo el riesgo, se incluye controles nuevos e indicador clave de riesgo. </t>
    </r>
  </si>
  <si>
    <t>CIGD # 06 del 2026-05-08 (II sesión) </t>
  </si>
  <si>
    <t>2026-04-23 Reunión entre los profesionales del GIT del SIG de la OAP y la jefatura de la oficina, donde se define la actualización del riesgo</t>
  </si>
  <si>
    <r>
      <rPr>
        <b/>
        <sz val="11"/>
        <color rgb="FF7030A0"/>
        <rFont val="Arial"/>
      </rPr>
      <t xml:space="preserve">Matriz de riesgo de gestión: 
</t>
    </r>
    <r>
      <rPr>
        <sz val="11"/>
        <color rgb="FF000000"/>
        <rFont val="Arial"/>
      </rPr>
      <t xml:space="preserve">Proceso E-02 Administración del SIG
Se actualiza el riesgo E02-R2 en todas sus etapas, se raliza una evaluación en todo el riesgo, se incluye un nuevo control, acción para abordar riesgo e indicador clave de riesgo. </t>
    </r>
  </si>
  <si>
    <t>CIGD # 05 del 2026-03-25</t>
  </si>
  <si>
    <t>13/11/2025 Liliana Pineda Aponte</t>
  </si>
  <si>
    <r>
      <rPr>
        <b/>
        <sz val="11"/>
        <color rgb="FF7030A0"/>
        <rFont val="Arial"/>
        <family val="2"/>
      </rPr>
      <t xml:space="preserve">Matriz de riesgos de seguridad de la información: 
</t>
    </r>
    <r>
      <rPr>
        <sz val="11"/>
        <color rgb="FF000000"/>
        <rFont val="Arial"/>
        <family val="2"/>
      </rPr>
      <t xml:space="preserve">
Actualización de los controles de los siguientes riesgos:
SI-4,SI-6,SI-7,SI-9,SI-12,SI-25 Gestión de tecnología
SI-10 y SI-26, Gestión administrativa
SI-24 OAP
Se agregan indicadores de gestión para los siguientes riesgos: SI-3, SI-4, SI-5, SI-6, SI-7, SI-8, SI-9, SI-10, SI-11, SI-12, SI-13, SI-23 y SI-24
Remover el riesgo SI-22 del proceso de  Administración del Sistema Integrado de Gestión. Este quedaría cubierto con el riesgo SI-09 del proceso de Gestión de tecnología</t>
    </r>
  </si>
  <si>
    <t>CIGD # 13 del 2025-11-28</t>
  </si>
  <si>
    <t>Vistos buenos a través de correo electrónico por parte de los lideres de proceso: 
OIDT 2025-09-18
SSMRC 2025-09-18</t>
  </si>
  <si>
    <r>
      <rPr>
        <b/>
        <sz val="11"/>
        <color rgb="FF7030A0"/>
        <rFont val="Arial"/>
        <family val="2"/>
      </rPr>
      <t xml:space="preserve">Matriz de riesgos de corrupción: 
</t>
    </r>
    <r>
      <rPr>
        <b/>
        <sz val="11"/>
        <color rgb="FF000000"/>
        <rFont val="Arial"/>
        <family val="2"/>
      </rPr>
      <t xml:space="preserve">Proceso E-05 Gestión de tecnologías de la información.
</t>
    </r>
    <r>
      <rPr>
        <sz val="11"/>
        <color rgb="FF000000"/>
        <rFont val="Arial"/>
        <family val="2"/>
      </rPr>
      <t xml:space="preserve">Se agregan dos riesgos E05-RC01 y E05-RC02. 
</t>
    </r>
    <r>
      <rPr>
        <b/>
        <sz val="11"/>
        <color rgb="FF000000"/>
        <rFont val="Arial"/>
        <family val="2"/>
      </rPr>
      <t>Proceso de ensayos de aptitud:</t>
    </r>
    <r>
      <rPr>
        <sz val="11"/>
        <color rgb="FF000000"/>
        <rFont val="Arial"/>
        <family val="2"/>
      </rPr>
      <t xml:space="preserve">  
Se actualizan controles (énfasis en los ítems de evidencia y documentado) de los riesgos M05-RC01 y el M05-RC02 teniendo en cuenta las actividades actuales del proceso
</t>
    </r>
    <r>
      <rPr>
        <b/>
        <sz val="11"/>
        <color rgb="FF000000"/>
        <rFont val="Arial"/>
        <family val="2"/>
      </rPr>
      <t>Proceso de asistencia técnica:</t>
    </r>
    <r>
      <rPr>
        <sz val="11"/>
        <color rgb="FF000000"/>
        <rFont val="Arial"/>
        <family val="2"/>
      </rPr>
      <t xml:space="preserve"> 
Se actualiza el control (énfasis en los ítems de responsable, evidencia y desviaciones a las observaciones) del riesgo M04-RC01 teniendo en cuenta las actividades actuales del proceso</t>
    </r>
  </si>
  <si>
    <t>CIGD # 11 del 2025-10-29</t>
  </si>
  <si>
    <t>Visto bueno en reuniones realizadas entre la jefe de la OAP y los profesionales del proceso de direccionamiento estratégico y planeación antes del CIGD # 5 del  2025-06-18.</t>
  </si>
  <si>
    <r>
      <rPr>
        <b/>
        <sz val="11"/>
        <color rgb="FF7030A0"/>
        <rFont val="Arial"/>
        <family val="2"/>
      </rPr>
      <t xml:space="preserve">Matriz riesgos de gestión:
</t>
    </r>
    <r>
      <rPr>
        <b/>
        <sz val="11"/>
        <color rgb="FF000000"/>
        <rFont val="Arial"/>
        <family val="2"/>
      </rPr>
      <t xml:space="preserve">Proceso E-01 Direccionamiento estratégico y planeación.
</t>
    </r>
    <r>
      <rPr>
        <sz val="11"/>
        <color rgb="FF000000"/>
        <rFont val="Arial"/>
        <family val="2"/>
      </rPr>
      <t>El riesgo E01-R5 se actualiza en su totalidad, se realiza replanteamiento general en las etapas de identificación y valoración. 
Los riesgos E01-R6, E01-R7 se eliminan dado que al ampliar el alcance en la identificación y valoración del E01-R5, se cubren las actividades planteadas en estos riesgos inactivos.  
Se crea el riesgo E01-R9, que indica "Posibilidad de afectación económica por la inadecuada adopción de lineamientos establecidos por el MHCP para la elaboración del anteproyecto de presupuesto"</t>
    </r>
  </si>
  <si>
    <t>CIGD # 5 del 2025-06-18</t>
  </si>
  <si>
    <t xml:space="preserve">Gestión del cambio PEI-SIG
Vistos buenos a través de correo electrónico por parte de los lideres de proceso: 
- SMF: 2025-03-17
- SMQB: 2025-03-12
- SG: 2025-03-21 aprobación de los riesgos del Sistema de gestión ambiental. 
- SG: 2025-03-17 aprobación de los riesgos del Sistema de seguridad en el trabajo. </t>
  </si>
  <si>
    <r>
      <rPr>
        <b/>
        <sz val="11"/>
        <color rgb="FF7030A0"/>
        <rFont val="Arial"/>
        <family val="2"/>
      </rPr>
      <t>Matriz Riesgos fiscales:</t>
    </r>
    <r>
      <rPr>
        <sz val="11"/>
        <color rgb="FF7030A0"/>
        <rFont val="Arial"/>
        <family val="2"/>
      </rPr>
      <t xml:space="preserve"> 
</t>
    </r>
    <r>
      <rPr>
        <b/>
        <sz val="11"/>
        <color rgb="FF000000"/>
        <rFont val="Arial"/>
        <family val="2"/>
      </rPr>
      <t>Proceso M-08 Gestión de patrones nacionales y sistemas de medición.</t>
    </r>
    <r>
      <rPr>
        <sz val="11"/>
        <color rgb="FF000000"/>
        <rFont val="Arial"/>
        <family val="2"/>
      </rPr>
      <t xml:space="preserve"> Luego de la revisión y análisis de los riesgos de gestión para el proceso, se toma la decisión de identificarlos y tratarlos como riesgos fiscales debido al impacto económico que generan. Es decir, que se crean los riesgos fiscales # 3 y 4 (M08-RF1 y M08-RF2) para la administración general de la matriz de riesgos del INM.  
</t>
    </r>
    <r>
      <rPr>
        <b/>
        <sz val="11"/>
        <color rgb="FF7030A0"/>
        <rFont val="Arial"/>
        <family val="2"/>
      </rPr>
      <t xml:space="preserve">Matriz Riesgos de gestión: 
</t>
    </r>
    <r>
      <rPr>
        <b/>
        <sz val="11"/>
        <color rgb="FF000000"/>
        <rFont val="Arial"/>
        <family val="2"/>
      </rPr>
      <t xml:space="preserve">Secretaría general
</t>
    </r>
    <r>
      <rPr>
        <sz val="11"/>
        <color rgb="FF000000"/>
        <rFont val="Arial"/>
        <family val="2"/>
      </rPr>
      <t xml:space="preserve">- Sistema de Gestión de Seguridad y Salud en el trabajo: Se elimina el riesgo A04-R5 (94), dado que se compila en el riesgo A04-R4 (93). Se compila el riesgo acorde con el valor presente de la gestión del sistema.
- Sistema de Gestión ambiental: 
El riesgo A05-R3 se modifica de acuerdo con el contexto actual de la gestión del sistema ambiental del INM, añadiendo dos controles adicionales.
El riesgo A05-R4 se modifica de acuerdo con el contexto actual de la gestión del sistema ambiental del INM.
Para ambos riesgos, se agregan acciones para abordar riesgos. 
</t>
    </r>
    <r>
      <rPr>
        <b/>
        <sz val="11"/>
        <color rgb="FF000000"/>
        <rFont val="Arial"/>
        <family val="2"/>
      </rPr>
      <t>Proceso M-08 Gestión de patrones nacionales y sistemas de medición.</t>
    </r>
    <r>
      <rPr>
        <sz val="11"/>
        <color rgb="FF000000"/>
        <rFont val="Arial"/>
        <family val="2"/>
      </rPr>
      <t xml:space="preserve"> 
- Dada la creación de los riesgos fiscales # 3 y 4, se eliminan los riesgos M08-R1 (41), M08-R4 (44), M08-R5 (45)
- Se modifica control 3 del M08-R2. Se agrega cargo relacionado con la ejecución del control "personal de apoyo de la subdirección de metrología física". 
</t>
    </r>
    <r>
      <rPr>
        <b/>
        <sz val="11"/>
        <color rgb="FF000000"/>
        <rFont val="Arial"/>
        <family val="2"/>
      </rPr>
      <t xml:space="preserve">Proceso M-01 Servicios de calibración y medición
</t>
    </r>
    <r>
      <rPr>
        <sz val="11"/>
        <color rgb="FF000000"/>
        <rFont val="Arial"/>
        <family val="2"/>
      </rPr>
      <t xml:space="preserve">- Se elimina el riesgo M01-R9 (39) dado que se da tratamiento a través del riesgo de corrupción M01-RC01
</t>
    </r>
    <r>
      <rPr>
        <b/>
        <sz val="11"/>
        <color rgb="FF7030A0"/>
        <rFont val="Arial"/>
        <family val="2"/>
      </rPr>
      <t>Matriz riesgos de corrupción</t>
    </r>
    <r>
      <rPr>
        <sz val="11"/>
        <color rgb="FF000000"/>
        <rFont val="Arial"/>
        <family val="2"/>
      </rPr>
      <t xml:space="preserve">: 
</t>
    </r>
    <r>
      <rPr>
        <b/>
        <sz val="11"/>
        <color rgb="FF000000"/>
        <rFont val="Arial"/>
        <family val="2"/>
      </rPr>
      <t xml:space="preserve">Proceso M-01 Servicios de calibración y medición
</t>
    </r>
    <r>
      <rPr>
        <sz val="11"/>
        <color rgb="FF000000"/>
        <rFont val="Arial"/>
        <family val="2"/>
      </rPr>
      <t>Se agregan los controles 3 y 4 al riesgo de corrupción M01-RC01</t>
    </r>
  </si>
  <si>
    <t>CIGD # 3 del 2025-03-26</t>
  </si>
  <si>
    <t>Diciembre del 2024
Plan de gestión del cambio PEI- SIG</t>
  </si>
  <si>
    <r>
      <rPr>
        <b/>
        <sz val="11"/>
        <color rgb="FF7030A0"/>
        <rFont val="Arial"/>
        <family val="2"/>
      </rPr>
      <t>Riesgos de corrupción:</t>
    </r>
    <r>
      <rPr>
        <b/>
        <sz val="11"/>
        <color rgb="FF000000"/>
        <rFont val="Arial"/>
        <family val="2"/>
      </rPr>
      <t xml:space="preserve"> 
</t>
    </r>
    <r>
      <rPr>
        <sz val="11"/>
        <color rgb="FF000000"/>
        <rFont val="Arial"/>
        <family val="2"/>
      </rPr>
      <t xml:space="preserve">Se cambian los códigos identificadores de los riesgos.  
Para todos los riesgos se etablecen acciones para abordar riesgos.
</t>
    </r>
    <r>
      <rPr>
        <b/>
        <sz val="11"/>
        <color rgb="FF000000"/>
        <rFont val="Arial"/>
        <family val="2"/>
      </rPr>
      <t>- Gestión financiera:</t>
    </r>
    <r>
      <rPr>
        <sz val="11"/>
        <color rgb="FF000000"/>
        <rFont val="Arial"/>
        <family val="2"/>
      </rPr>
      <t xml:space="preserve"> El riesgo que antes era el A01-RC02 pasa ser el A01-RC01 y el A01-RC03 pasa a ser el A01-RC02. 
</t>
    </r>
    <r>
      <rPr>
        <b/>
        <sz val="11"/>
        <color rgb="FF000000"/>
        <rFont val="Arial"/>
        <family val="2"/>
      </rPr>
      <t>- Contratación y Adquisición de Bienes y Servicios</t>
    </r>
    <r>
      <rPr>
        <sz val="11"/>
        <color rgb="FF000000"/>
        <rFont val="Arial"/>
        <family val="2"/>
      </rPr>
      <t xml:space="preserve">: Para los riesgos A07-RC01 y A07-RC02 se agregan controles adicionales.
</t>
    </r>
    <r>
      <rPr>
        <b/>
        <sz val="11"/>
        <color rgb="FF000000"/>
        <rFont val="Arial"/>
        <family val="2"/>
      </rPr>
      <t>- Capacitación en metrología</t>
    </r>
    <r>
      <rPr>
        <sz val="11"/>
        <color rgb="FF000000"/>
        <rFont val="Arial"/>
        <family val="2"/>
      </rPr>
      <t xml:space="preserve">: Se adiciona nuevo riesgo para el proceso M02-RC01
</t>
    </r>
    <r>
      <rPr>
        <b/>
        <sz val="11"/>
        <color rgb="FF000000"/>
        <rFont val="Arial"/>
        <family val="2"/>
      </rPr>
      <t>- Gestión de servicios metrológicos:</t>
    </r>
    <r>
      <rPr>
        <sz val="11"/>
        <color rgb="FF000000"/>
        <rFont val="Arial"/>
        <family val="2"/>
      </rPr>
      <t xml:space="preserve"> Se agregan nuevos controles para el riesgo A08-RC02 y el segundo control para el riesgo A08-RC01. 
</t>
    </r>
    <r>
      <rPr>
        <b/>
        <sz val="11"/>
        <color rgb="FF000000"/>
        <rFont val="Arial"/>
        <family val="2"/>
      </rPr>
      <t>- Gestión administrativa:</t>
    </r>
    <r>
      <rPr>
        <sz val="11"/>
        <color rgb="FF000000"/>
        <rFont val="Arial"/>
        <family val="2"/>
      </rPr>
      <t xml:space="preserve"> Se adiciona nuevos riesgos para el proceso, A05-RC02 y A05-RC03
</t>
    </r>
    <r>
      <rPr>
        <b/>
        <sz val="11"/>
        <color rgb="FF000000"/>
        <rFont val="Arial"/>
        <family val="2"/>
      </rPr>
      <t>- Gestión documental:</t>
    </r>
    <r>
      <rPr>
        <sz val="11"/>
        <color rgb="FF000000"/>
        <rFont val="Arial"/>
        <family val="2"/>
      </rPr>
      <t xml:space="preserve"> Se adiciona nuevo riesgo para el proceso A03-RC01
</t>
    </r>
    <r>
      <rPr>
        <b/>
        <sz val="11"/>
        <color rgb="FF000000"/>
        <rFont val="Arial"/>
        <family val="2"/>
      </rPr>
      <t xml:space="preserve">- Servicios de calibración y medición metrológica: 
</t>
    </r>
    <r>
      <rPr>
        <sz val="11"/>
        <color rgb="FF000000"/>
        <rFont val="Arial"/>
        <family val="2"/>
      </rPr>
      <t xml:space="preserve">M01-RC01: Se modifica la descripción del riesgo, dando alcance a materiales de referencia, adicionalmente se identifican nuevos aspectos en las etapas de identificación y valoración (factores internos, externos, controles, entre otros)
M01-RC02: Se modifica el control 1 y se incluyen los controles 2 y 3
M01-RC04: Se adiciona nuevo riesgo
</t>
    </r>
    <r>
      <rPr>
        <b/>
        <sz val="11"/>
        <color rgb="FF000000"/>
        <rFont val="Arial"/>
        <family val="2"/>
      </rPr>
      <t>- Producción de Materiales de Referencia y Desarrollo de Métodos Analíticos</t>
    </r>
    <r>
      <rPr>
        <sz val="11"/>
        <color rgb="FF000000"/>
        <rFont val="Arial"/>
        <family val="2"/>
      </rPr>
      <t xml:space="preserve">: Se elimina el riesgo M03-RC01 dado que pasa a ser tratado como riesgo fiscal para el proceso de gestión de patrones nacionales y sistemas de medición. Dada esta actualización del 2025, el riesgo M03-RC02 pasa a ser el riesgo M03-RC01.
Se agrega un nuevo riesgo que pasa a ser el M03-RC02.
</t>
    </r>
    <r>
      <rPr>
        <b/>
        <sz val="11"/>
        <color rgb="FF000000"/>
        <rFont val="Arial"/>
        <family val="2"/>
      </rPr>
      <t>- Gestión de talento humano</t>
    </r>
    <r>
      <rPr>
        <sz val="11"/>
        <color rgb="FF000000"/>
        <rFont val="Arial"/>
        <family val="2"/>
      </rPr>
      <t xml:space="preserve">: Se agrega el control #2
</t>
    </r>
    <r>
      <rPr>
        <b/>
        <sz val="11"/>
        <color rgb="FF000000"/>
        <rFont val="Arial"/>
        <family val="2"/>
      </rPr>
      <t xml:space="preserve">- Evaluación, acompañamiento y asesoría al Sistema de Control Interno: </t>
    </r>
    <r>
      <rPr>
        <sz val="11"/>
        <color rgb="FF000000"/>
        <rFont val="Arial"/>
        <family val="2"/>
      </rPr>
      <t xml:space="preserve">Se identifica un nuevo riesgo para el proceso C01-RC01 
</t>
    </r>
    <r>
      <rPr>
        <b/>
        <sz val="11"/>
        <color rgb="FF000000"/>
        <rFont val="Arial"/>
        <family val="2"/>
      </rPr>
      <t>- Ensayos de aptitud</t>
    </r>
    <r>
      <rPr>
        <sz val="11"/>
        <color rgb="FF000000"/>
        <rFont val="Arial"/>
        <family val="2"/>
      </rPr>
      <t xml:space="preserve">: Se hacen ajustes de redacción en los controles, asociados a la realidad de las actividades del proceso.  
</t>
    </r>
    <r>
      <rPr>
        <b/>
        <sz val="11"/>
        <color rgb="FF000000"/>
        <rFont val="Arial"/>
        <family val="2"/>
      </rPr>
      <t xml:space="preserve">- Asistencia técnica: </t>
    </r>
    <r>
      <rPr>
        <sz val="11"/>
        <color rgb="FF000000"/>
        <rFont val="Arial"/>
        <family val="2"/>
      </rPr>
      <t xml:space="preserve">Se ajusta el control y se agrega acción para abordar el riesgo.
</t>
    </r>
    <r>
      <rPr>
        <b/>
        <sz val="11"/>
        <color rgb="FF000000"/>
        <rFont val="Arial"/>
        <family val="2"/>
      </rPr>
      <t>- Servicio al ciudadano:</t>
    </r>
    <r>
      <rPr>
        <sz val="11"/>
        <color rgb="FF000000"/>
        <rFont val="Arial"/>
        <family val="2"/>
      </rPr>
      <t xml:space="preserve"> Se adiciona nuevo riesgo
</t>
    </r>
    <r>
      <rPr>
        <b/>
        <sz val="11"/>
        <color rgb="FF7030A0"/>
        <rFont val="Arial"/>
        <family val="2"/>
      </rPr>
      <t xml:space="preserve">Riesgos fiscales: 
</t>
    </r>
    <r>
      <rPr>
        <sz val="11"/>
        <color rgb="FF000000"/>
        <rFont val="Arial"/>
        <family val="2"/>
      </rPr>
      <t xml:space="preserve">Se agregan los riesgos para los procesos Gestión financiera (A01-RF01) y Contratación y adquisición de bienes y servicios (A07-RF01)
</t>
    </r>
  </si>
  <si>
    <t>CIGD # 2 del 2025-01-29</t>
  </si>
  <si>
    <t xml:space="preserve">2024-04-02: Correo electrónico enviado por parte de Liliana Pineda Aponte para la OAP (Linda Karina Petro). </t>
  </si>
  <si>
    <t xml:space="preserve">Riesgos de proceso: Se solicita por parte de la OIDT, la inclusión de los riesgos de proceso 06-1 (99), 05-17 (121) y 05-20 (124) para ser administrados desde la OIDT como tipología de riesgos de seguridad de la información. Dado lo anterior, los riesgos anteriormente mencionados pasan a ser administrados por parte de la OIDT como segunda línea para los riesgos de seguridad de la información. </t>
  </si>
  <si>
    <t xml:space="preserve">Presentado en el CIGD # 6 del 2024-04-22 (sesión 1), no hubo necesidad de solicitar aprobación dado que los riesgos de seguridad de la información ya habia sido aprobados previamente. </t>
  </si>
  <si>
    <t xml:space="preserve">2024-01-20: Cambio propuesto por parte de Linda Karina Petro como segunda línea para la vigencia 2024. </t>
  </si>
  <si>
    <t xml:space="preserve">Riesgos de corrupción: Se hace una revisión general de los riesgos de corrupción y por el momento, no se generan cambios sobre dichos riesgos. No se generan cambios dado que por la gestión del cambio SIG-PEI, se realizará revisión nuevamente de los riesgos para aplicar los cambios o actualizaciones que correspondan. 
Se realiza la aprobación de los riesgos de corrupción dando cumplimiento a los lineamientos establecidos en el DAFP en la revisión y aprobación de los riesgos de corrupción antes del 31 de enero de cada vigencia. </t>
  </si>
  <si>
    <t>CIGD # 01 del 2024-01-25</t>
  </si>
  <si>
    <t>Correo enviado por Jose Alvaro Bermudez Aguila, Sec. General INM, el día 2023-03-27</t>
  </si>
  <si>
    <t xml:space="preserve">Riesgos de proceso: Se incluye el riesgo A04-R05 para el proceso de talento humano. </t>
  </si>
  <si>
    <t>CIGD # 10 del 2023-07-18</t>
  </si>
  <si>
    <t>Cambios: Correo enviado por Isabel Cristina Gonzalez el 2023-04-21</t>
  </si>
  <si>
    <t>Riesgos de proceso
Cambio 1:
Se incluye el riesgo M01-R10 para el proceso de servicios de calibración y medición metrológica. 
Cambio 2: 
- Se ajusta el cargo responsable de ejecutar el control # 2 del riesgo M01-R1</t>
  </si>
  <si>
    <t xml:space="preserve">CIGD # 6 del 2023-04-25 </t>
  </si>
  <si>
    <t xml:space="preserve">Cambio 1: Correo enviado por Isabel Cristina González el 2023-01-26
Cambio 2: Correo enviado por Isabel Cristina González el 2023-01-26
Cambios 3 y 4: Identificado por Linda Karina Petro Profesional Universitario 2044-09 de la Oficina Asesora de Planeación. </t>
  </si>
  <si>
    <t>Riesgos de corrupción
Cambio 1:
Se incluye el riesgo M01-RC03 para el proceso de servicios de calibración y medición metrológica. 
Cambio 2: 
- Se realizan ajustes sobre los riesgos M01-RC01, M01-RC02 en cuanto a sus controles y actividades de control. 
Cambio 3: 
Se cambia la redacción de todos los riesgos, ajustándolo a lo establecido en el numeral 2.2 Identificación de riesgos EJEMPLO 2.2.1 Técnicas para la redacción de riesgos y en el Formato de descripción del riesgo de corrupción (página 31); de la guía para la administración del riesgo y el diseño de controles en entidades públicas riesgos de gestión, de corrupción y seguridad digital V4 (Octubre 2018)
Cambio 4: Se actualizan las referencias cruzadas de algunos procedimientos o documentos del SIG mencionados en los controles para algunos riesgos de los procesos A-08 y A-07</t>
  </si>
  <si>
    <t>CIGD # 2 del 2023-01-26</t>
  </si>
  <si>
    <t xml:space="preserve">Cambio 1: Correo enviado por Jeimi Medina Walteros el 2022-12-28
Cambios 2 y 3: Correo enviado por Martha Ximena Martínez el 2022-12-19
Cambio 4: Correo enviado por Jeimi Medina Walteros el 2022-12-28
Cambio 5: Correo enviado por Adriana del Pilar Dominguez el 2022-12-27
</t>
  </si>
  <si>
    <t xml:space="preserve">Riesgos de corrupción
Cambio 1:
- Se elimina el riesgo A01-RC02 del proceso Gestión Financiera, dado que la actividad relacionada con el arqueo de títulos valores no se realiza en el instituto.
- Se actualiza la fecha de ejecución del plan de acción para el riesgo A01-RC02. 
Cambio 2: 
- Se cambia el riesgo A04-RC01 de manera general en cuanto a la descripción y plan de acción para la vigencia 2023. 
Riesgos de procesos
Se realizó modificación de:
- Plan de acción para los riesgos A04-R1 y  A04-R3 para la vigencia 2023. (Cambio 3)
- Redacción en el control 1 del riesgo A06-R1. Para el riesgo A06-R2, se agrega el control 2 con su respectiva evaluación y acciones para abordar para ambos riesgos mencionados. (Cambio 4)
- Redacción del primer control para los riesgos A02-R1 y A02-R2. Asi mismo se actualizaron los planes de acción para la vigencia 2023. (Cambio 5)
JUSTIFICACIÓN: 
Se realizan los cambios en la matriz de riesgos para la vigencia 2023 dada la revisión de los mismos por parte de los procesos en el último bimestre del año 2022. </t>
  </si>
  <si>
    <t xml:space="preserve">CIGD # 25 del 2022-12-30 </t>
  </si>
  <si>
    <t>Se realiza el cambio dada la oportunidad de mejora #125</t>
  </si>
  <si>
    <t>Riesgos de procesos
Se cambia la tipología del riesgo M03-R4, pasando de "imparcialidad" a tipo de riesgo "Operativo"</t>
  </si>
  <si>
    <t xml:space="preserve">CIGD extraordinario #21 del 2022-11-30 </t>
  </si>
  <si>
    <t xml:space="preserve">Se realiza la inclusión de los riesgos dado que se gestionan las Oportunidad de mejora No. 191 para dar cumplimiento al criterio 43 de la dimensión 7 control interno de MIPG y la Oportunidad de Mejora 67. </t>
  </si>
  <si>
    <t>Riesgos de procesos
Se realizó inclusión de: 
- 1 riesgo (E01-R8) para el proceso de direccionamiento estratégico y planeación
- 1 riesgo (A02-R2) para el proceso de defensa judicial y extrajudicial 
- 1 riesgo (A07-R4) para el proceso de contratación y adquisición de bienes y servicios
- 1 riesgo (A04-R4) para el proceso de gestión del talento humano</t>
  </si>
  <si>
    <t>CIGD #17 del 2022-09-29</t>
  </si>
  <si>
    <t>2022-07-19 Gerardo Porras Rueda, Subdirector de Servicios Metrológicos y Relación con el Ciudadano (Reunión de manera presencial programada a las 10:00 h)
2022-06-28 Luis G Mieles B, Jefe Oficina Informática Desarrollo Tecnológico (asunto: Re: MATRIZ DE RIESGOS DE TI)</t>
  </si>
  <si>
    <t xml:space="preserve">Riesgos de procesos
Se realizó modificación de:
- 4 riesgos (M06-R1, M06-R2, M06-R3, M06-R4) para el proceso de red Colombiana de Metrología. 
- Análisis de riesgo inherente del A06-R2.
Se realizó inclusión de: 
- 16 riesgos (E05-R1, E05-R2, E05-R3, E05-R4, E05-R5, E05-R6, E05-R7, E05-R8, E05-R9, E05-R10, E05-R11, E05-R12, E05-R13, E05-R14, E05-R15 y E05-R16) para el proceso de Gestión de las Tecnologías de la Información. De los 16 riesgos aprobados, 14 riesgos son de proceso y 2 de seguridad de la información (E05-R04 y E05-R07). 
</t>
  </si>
  <si>
    <t>CIGD #13 del 2022-07-29</t>
  </si>
  <si>
    <t>2022-05-13 Gerardo Porras Rueda, Subdirector de Servicios Metrológicos y Relación con el Ciudadano (asunto: Re: Riesgos para revisión)
2022-05-05: Linda Karina Eulegelo, Profesional Universitario 11 (asunto: Re: Seguimiento riesgos - Primer cuatrimestre 2022 (Mayo 4))
2022-05-19: Juan Alberto Lopez Piraneque, Profesional Especializado (asunto: MATRIZ RIESGO ANTICORRUPCION)</t>
  </si>
  <si>
    <t xml:space="preserve">Riesgos de procesos
Se realizó modificación de:
- 9 riesgos (M05-R1, M05-R2, M05-R3, M05-R4, M05-R5, M05-R6, M05-R7, M05-R8 y M05-R9) para el proceso de ensayos de aptitud. 
- 3 riesgos (M04-R1, M04-R2, M04-R3) para el proceso de asistencia técnica. 
- 3 riesgos (M07-R1, M07-R2, M07-R3) para el proceso de Investigación, Desarrollo e Innovación.
Se realizó inclusión de: 
- 2 riesgos (A05-R3, A05-R4) para el proceso de servicios administrativos (Sistema de gestión ambiental)
Riesgos de corrupción
Se realizó inclusión de: 
- 1 riesgo (M04-RC01) para el proceso de asistencia técnica. 
-  Control #2 del riesgo M05-RC01 para el proceso de ensayos de aptitud. 
Se realizó modificación de:
- Control del #2 del riesgo A01-RC03 para el proceso de gestión financiera. </t>
  </si>
  <si>
    <t>CIGD #9 del 2022-05-25</t>
  </si>
  <si>
    <t>2022-04-22 Xavier Alhim Gómez Sarmiento, Subdirector SMF-INM (asunto: Inclusión del riesgo M8R7 y ajuste con adición de control al riesgo M8R6, para aprobación CIGD)</t>
  </si>
  <si>
    <t xml:space="preserve">Riesgos de procesos
Se realizó inclusión del riesgo M08-R7 y control #4 para el riesgo M08-R6 para el proceso de Gestión de patrones nacionales y sistemas de medición. </t>
  </si>
  <si>
    <t>CIGD #7 del 2022-04-29</t>
  </si>
  <si>
    <t>Instrucciones diligenciamiento - Mapa de Riesgos de gestión</t>
  </si>
  <si>
    <r>
      <rPr>
        <sz val="11"/>
        <color rgb="FF000000"/>
        <rFont val="Verdana"/>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1"/>
        <color rgb="FFE36C09"/>
        <rFont val="Verdana"/>
        <family val="2"/>
      </rPr>
      <t>Guía para la Administración del Riesgo y el diseño de controles V6</t>
    </r>
    <r>
      <rPr>
        <sz val="11"/>
        <color rgb="FF000000"/>
        <rFont val="Verdana"/>
        <family val="2"/>
      </rPr>
      <t>. El formato cuenta con celdas parametrizadas y permite contar con los respectivos mapas de calor para riesgo inherente y riesgo residual.</t>
    </r>
  </si>
  <si>
    <t>Orientaciones Generales</t>
  </si>
  <si>
    <r>
      <rPr>
        <sz val="11"/>
        <color rgb="FF000000"/>
        <rFont val="Verdana"/>
        <family val="2"/>
      </rPr>
      <t xml:space="preserve">Antes de iniciar con el diligenciamiento de la información en la matriz, se requiere haber avanzado en el análisis del </t>
    </r>
    <r>
      <rPr>
        <b/>
        <sz val="11"/>
        <color rgb="FF000000"/>
        <rFont val="Verdana"/>
        <family val="2"/>
      </rPr>
      <t>proceso, su objetivo, alcance, actividades clave</t>
    </r>
    <r>
      <rPr>
        <sz val="11"/>
        <color rgb="FF000000"/>
        <rFont val="Verdana"/>
        <family val="2"/>
      </rPr>
      <t xml:space="preserve">, considere los lineamientos establecidos en el </t>
    </r>
    <r>
      <rPr>
        <b/>
        <sz val="11"/>
        <color rgb="FFE36C09"/>
        <rFont val="Verdana"/>
        <family val="2"/>
      </rPr>
      <t>Paso 2: identificación del riesgo</t>
    </r>
    <r>
      <rPr>
        <sz val="11"/>
        <color rgb="FF000000"/>
        <rFont val="Verdana"/>
        <family val="2"/>
      </rPr>
      <t xml:space="preserve">, donde se explica ampliamente las bases para adelanter este análisis.
Así mismo, considere en el </t>
    </r>
    <r>
      <rPr>
        <b/>
        <sz val="11"/>
        <color rgb="FFE36C09"/>
        <rFont val="Verdana"/>
        <family val="2"/>
      </rPr>
      <t>Paso 3: valoración del riesgo</t>
    </r>
    <r>
      <rPr>
        <sz val="11"/>
        <color rgb="FF000000"/>
        <rFont val="Verdana"/>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Verdana"/>
        <family val="2"/>
      </rPr>
      <t>NOTA:</t>
    </r>
    <r>
      <rPr>
        <sz val="11"/>
        <color rgb="FF000000"/>
        <rFont val="Verdana"/>
        <family val="2"/>
      </rPr>
      <t xml:space="preserve"> Si lo considera pertinente, es posible agregar hojas de trabajo adicionales al presente formato que permitan incluir la traza de estos análisis.</t>
    </r>
  </si>
  <si>
    <r>
      <t xml:space="preserve">El archivo contiene las siguientes hojas:
-   </t>
    </r>
    <r>
      <rPr>
        <b/>
        <sz val="11"/>
        <color theme="1"/>
        <rFont val="Verdana"/>
        <family val="2"/>
      </rPr>
      <t>Hoja Inst. riesgos procesos.</t>
    </r>
    <r>
      <rPr>
        <sz val="11"/>
        <color theme="1"/>
        <rFont val="Verdana"/>
        <family val="2"/>
      </rPr>
      <t xml:space="preserve">
 -  </t>
    </r>
    <r>
      <rPr>
        <b/>
        <sz val="11"/>
        <color theme="1"/>
        <rFont val="Verdana"/>
        <family val="2"/>
      </rPr>
      <t xml:space="preserve">Hoja Matriz de procesos: </t>
    </r>
    <r>
      <rPr>
        <sz val="11"/>
        <color theme="1"/>
        <rFont val="Verdana"/>
        <family val="2"/>
      </rPr>
      <t>Encontrará la totalidad de la estructura para la identificación y valoración de los riesgos por proceso, acorde con el nivel de desagregación que la entidad considere necesaria.</t>
    </r>
  </si>
  <si>
    <t>Columna</t>
  </si>
  <si>
    <t>Descripción - Lineamientos para el diligenciamiento</t>
  </si>
  <si>
    <t>Referencia</t>
  </si>
  <si>
    <t xml:space="preserve">Permite definir un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</si>
  <si>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Proceso</t>
  </si>
  <si>
    <t>Seleccione el nombre del proceso al cual se le identificarán y valorarán los riesgos.</t>
  </si>
  <si>
    <t>Objetivo</t>
  </si>
  <si>
    <t>Se toma como referencia el objetivo del proceso.</t>
  </si>
  <si>
    <t>Alcance</t>
  </si>
  <si>
    <t>Se toma como referencia el alcance del proceso.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</si>
  <si>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</si>
  <si>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</si>
  <si>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</si>
  <si>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</si>
  <si>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</si>
  <si>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</si>
  <si>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la guía, inicia con </t>
    </r>
    <r>
      <rPr>
        <b/>
        <sz val="9"/>
        <color rgb="FFE36C09"/>
        <rFont val="Verdana"/>
        <family val="2"/>
      </rPr>
      <t>POSIBILIDAD DE + Impacto para la entidad (Qué) + Causa Inmediata (Cómo) + Causa Raíz (Por qué)</t>
    </r>
  </si>
  <si>
    <t>Clasificación del Riesgo</t>
  </si>
  <si>
    <t>Utilice la lista de despligue que se encuentra parametrizada, le aparecerán las opciones: i)Daños Activos Físicos, ii)Ejecución y Administración de procesos, iii)Fallas tecnológicas, iv)Fraude Externo, v)Fraude Interno, vi)Relaciones laborales, vii)Usuarios, productos y prácticas organizacionales.</t>
  </si>
  <si>
    <t>Tipo de riesgo</t>
  </si>
  <si>
    <t>Utilice la lista de despligue que se encuentra parametrizada, le aparecerán las opciones:  Estratégico, operativo, financiero, tecnológico, cumplimiento, confidencialidad, imparcialidad, fraude, fiscal.</t>
  </si>
  <si>
    <t>Frecuencia con la cual se lleva a cabo la actividad</t>
  </si>
  <si>
    <t>Defina el # de veces que se ejecuta la actividad durante el año, (Recuerde la probabilidad de ocurrencia del riesgo se define como el No. de veces que se pasa por el punto de riesgo en el periodo de 1 año). La matriz automáticamente hará el cálculo para el nivel de probabilidad inherente (Columnas M,N)</t>
  </si>
  <si>
    <t>Criterios de Impacto</t>
  </si>
  <si>
    <t>Utilice la lista de despligue que se encuentra parametrizada, le aparecerán las opciones de la tabla de Impacto en la Hoja 6 del presente documento. La matriz automáticamente hará el cálculo para el nivel de impacto inherente (Columnas Q,R)</t>
  </si>
  <si>
    <t>Zona de Riesgo Inherente</t>
  </si>
  <si>
    <t xml:space="preserve">Teniendo en cuenta que ingresó la información de PROBABILIDAD e IMPACTO, la matriz automáticamente hará el cálculo para la zona de riesgo inherente. </t>
  </si>
  <si>
    <t>Descripción del Control</t>
  </si>
  <si>
    <r>
      <t xml:space="preserve">Recuerde que el control se define como la medida que permite reducir o mitigar un riesgo. Defina el control (es) que atacan la causa raíz del riesgo, considere la estructura explicada en la guía: </t>
    </r>
    <r>
      <rPr>
        <b/>
        <sz val="9"/>
        <color rgb="FFE36C09"/>
        <rFont val="Verdana"/>
        <family val="2"/>
      </rPr>
      <t>Responsable de ejecutar el control + Acción + Complemento</t>
    </r>
  </si>
  <si>
    <t>Afectación</t>
  </si>
  <si>
    <t xml:space="preserve">Esta casilla no se diligencia, depende de la selección en la columna W. </t>
  </si>
  <si>
    <r>
      <t xml:space="preserve">ATRIBUTOS EFICIENCIA
</t>
    </r>
    <r>
      <rPr>
        <sz val="9"/>
        <color theme="1"/>
        <rFont val="Verdana"/>
        <family val="2"/>
      </rPr>
      <t>Tipo</t>
    </r>
  </si>
  <si>
    <t>Utilice la lista de despligue que se encuentra parametrizada, le aparecerán las opciones: i)Preventivo, ii)Detectivo, iii)Correctivo.</t>
  </si>
  <si>
    <r>
      <t xml:space="preserve">ATRIBUTOS EFICIENCIA
</t>
    </r>
    <r>
      <rPr>
        <sz val="9"/>
        <color theme="1"/>
        <rFont val="Verdana"/>
        <family val="2"/>
      </rPr>
      <t>Implementación</t>
    </r>
  </si>
  <si>
    <t>Utilice la lista de despligue que se encuentra parametrizada, le aparecerán las opciones: i)Automático, ii)Manual.</t>
  </si>
  <si>
    <r>
      <t xml:space="preserve">ATRIBUTOS EFICIENCIA
</t>
    </r>
    <r>
      <rPr>
        <sz val="9"/>
        <color theme="1"/>
        <rFont val="Verdana"/>
        <family val="2"/>
      </rPr>
      <t>Calificación</t>
    </r>
  </si>
  <si>
    <t xml:space="preserve">La matriz automáticamente hará el cálculo para el control analizado. </t>
  </si>
  <si>
    <r>
      <t xml:space="preserve">ATRIBUTOS INFORMATIVOS
</t>
    </r>
    <r>
      <rPr>
        <sz val="9"/>
        <color theme="1"/>
        <rFont val="Verdana"/>
        <family val="2"/>
      </rPr>
      <t>Documentación</t>
    </r>
  </si>
  <si>
    <t>Utilice la lista de despligue que se encuentra parametrizada, le aparecerán las opciones: i)Documentado, ii)Sin documentar.</t>
  </si>
  <si>
    <r>
      <t xml:space="preserve">ATRIBUTOS INFORMATIVOS
</t>
    </r>
    <r>
      <rPr>
        <sz val="9"/>
        <color theme="1"/>
        <rFont val="Verdana"/>
        <family val="2"/>
      </rPr>
      <t>Frecuencia</t>
    </r>
  </si>
  <si>
    <t>Utilice la lista de despligue que se encuentra parametrizada, le aparecerán las opciones: i)Continua, ii)Aleatoria.</t>
  </si>
  <si>
    <r>
      <t xml:space="preserve">ATRIBUTOS INFORMATIVOS
</t>
    </r>
    <r>
      <rPr>
        <sz val="9"/>
        <color theme="1"/>
        <rFont val="Verdana"/>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</si>
  <si>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</si>
  <si>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</si>
  <si>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9"/>
        <color rgb="FFE36C09"/>
        <rFont val="Verdana"/>
        <family val="2"/>
      </rPr>
      <t xml:space="preserve"> nivel de riesgo inherente</t>
    </r>
    <r>
      <rPr>
        <sz val="9"/>
        <color theme="1"/>
        <rFont val="Verdana"/>
        <family val="2"/>
      </rPr>
      <t>.</t>
    </r>
  </si>
  <si>
    <t>Tratamiento</t>
  </si>
  <si>
    <t>Utilice la lista de despligue que se encuentra parametrizada, le aparecerán las opciones: i)Aceptar, ii)Evitar, iii)Reducir (compartir), iv)Reducir (mitigar).</t>
  </si>
  <si>
    <r>
      <t xml:space="preserve">Plan de Acción (acciones para abordar riesgos)
</t>
    </r>
    <r>
      <rPr>
        <sz val="9"/>
        <color theme="1"/>
        <rFont val="Verdana"/>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</si>
  <si>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</si>
  <si>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Indicador clave de riesgo</t>
  </si>
  <si>
    <t xml:space="preserve">Se formulan los indicadores clave de riesgo (KRI por sus siglas en ingles) que permitan monitorear el cumplimiento (eficacia) e impacto (efectividad) de las actividades de control, siempre y cuando conduzcan a la toma de decisiones (Por riesgo identificado en los procesos).	</t>
  </si>
  <si>
    <t>Seguimientos (primera segunda y tercera línea de defensa)</t>
  </si>
  <si>
    <t xml:space="preserve">Por último, se registra el seguimiento de las tres líneas de defensa del INM.
Para la primera línea de defensa (columnas AP-AS, BC-BF, BP-BS y CC-CF) y la segunda línea de defensa (columnas AU-AW, BH-BJ, BU-BW y CH-CJ), el seguimiento se realiza trimestralmente para cada riesgo. Este seguimiento se basa en las preguntas que se encuentran en cada celda, las cuales sirven como guía para el análisis de los riesgos y sus respectivos controles. Se registra la fecha de seguimiento, el nombre de quien lo realiza, una descripción del cumplimiento de la ejecución del control, evidencia y/o observaciones, y si el riesgo se materializa o no.
En cuanto a la tercera línea de defensa, el seguimiento se lleva a cabo de acuerdo con el plan de auditoría de control interno. Este segumiento se registra seguido de los seguimientos de primera y segunda línea de defensa. </t>
  </si>
  <si>
    <r>
      <t xml:space="preserve"> -</t>
    </r>
    <r>
      <rPr>
        <sz val="11"/>
        <color theme="1"/>
        <rFont val="Verdana"/>
        <family val="2"/>
      </rPr>
      <t xml:space="preserve"> </t>
    </r>
    <r>
      <rPr>
        <b/>
        <sz val="11"/>
        <color theme="1"/>
        <rFont val="Verdana"/>
        <family val="2"/>
      </rPr>
      <t xml:space="preserve"> Hoja Matriz de Calor Inherente: </t>
    </r>
    <r>
      <rPr>
        <sz val="11"/>
        <color theme="1"/>
        <rFont val="Verdana"/>
        <family val="2"/>
      </rPr>
      <t xml:space="preserve"> En esta hoja, en la medida en que ese diligencia el Mapa Final, se verán reflejados los riesgos en su zona correspondiente. Esta hoja no se diligencia, se genera de manera automática.</t>
    </r>
  </si>
  <si>
    <r>
      <t xml:space="preserve"> -</t>
    </r>
    <r>
      <rPr>
        <sz val="11"/>
        <color theme="1"/>
        <rFont val="Verdana"/>
        <family val="2"/>
      </rPr>
      <t xml:space="preserve"> </t>
    </r>
    <r>
      <rPr>
        <b/>
        <sz val="11"/>
        <color theme="1"/>
        <rFont val="Verdana"/>
        <family val="2"/>
      </rPr>
      <t xml:space="preserve"> Hoja Matriz de Calor Residual: </t>
    </r>
    <r>
      <rPr>
        <sz val="11"/>
        <color theme="1"/>
        <rFont val="Verdana"/>
        <family val="2"/>
      </rPr>
      <t>En esta hoja, en la medida en que ese diligencia el Mapa Final, se verán reflejados los riesgos en su zona correspondiente. Esta hoja no se diligencia, se genera de manera automática.</t>
    </r>
  </si>
  <si>
    <r>
      <t xml:space="preserve"> -</t>
    </r>
    <r>
      <rPr>
        <sz val="11"/>
        <color theme="1"/>
        <rFont val="Verdana"/>
        <family val="2"/>
      </rPr>
      <t xml:space="preserve"> </t>
    </r>
    <r>
      <rPr>
        <b/>
        <sz val="11"/>
        <color theme="1"/>
        <rFont val="Verdana"/>
        <family val="2"/>
      </rPr>
      <t xml:space="preserve"> Hoja Tabla de probabilidad: </t>
    </r>
    <r>
      <rPr>
        <sz val="11"/>
        <color theme="1"/>
        <rFont val="Verdana"/>
        <family val="2"/>
      </rPr>
      <t>Tabla referente para todos los cálculos (no se diligencia)</t>
    </r>
  </si>
  <si>
    <r>
      <t xml:space="preserve"> -</t>
    </r>
    <r>
      <rPr>
        <sz val="11"/>
        <color theme="1"/>
        <rFont val="Verdana"/>
        <family val="2"/>
      </rPr>
      <t xml:space="preserve"> </t>
    </r>
    <r>
      <rPr>
        <b/>
        <sz val="11"/>
        <color theme="1"/>
        <rFont val="Verdana"/>
        <family val="2"/>
      </rPr>
      <t xml:space="preserve"> Hoja Tabla de Impacto: </t>
    </r>
    <r>
      <rPr>
        <sz val="11"/>
        <color theme="1"/>
        <rFont val="Verdana"/>
        <family val="2"/>
      </rPr>
      <t>Tabla referente para todos los cálculos (no se diligencia)</t>
    </r>
  </si>
  <si>
    <r>
      <t xml:space="preserve"> -</t>
    </r>
    <r>
      <rPr>
        <sz val="11"/>
        <color theme="1"/>
        <rFont val="Verdana"/>
        <family val="2"/>
      </rPr>
      <t xml:space="preserve"> </t>
    </r>
    <r>
      <rPr>
        <b/>
        <sz val="11"/>
        <color theme="1"/>
        <rFont val="Verdana"/>
        <family val="2"/>
      </rPr>
      <t xml:space="preserve"> Hoja Tabla de Valoración de Controles: </t>
    </r>
    <r>
      <rPr>
        <sz val="11"/>
        <color theme="1"/>
        <rFont val="Verdana"/>
        <family val="2"/>
      </rPr>
      <t>Tabla referente para todos los cálculos (no se diligencia)</t>
    </r>
  </si>
  <si>
    <t>Identificación del riesgo</t>
  </si>
  <si>
    <t>Análisis del riesgo inherente</t>
  </si>
  <si>
    <t>Evaluación del riesgo - Valoración de los controles</t>
  </si>
  <si>
    <t>Evaluación del riesgo - Nivel del riesgo residual</t>
  </si>
  <si>
    <t>Plan de Acción (acciones para abordar riesgos)</t>
  </si>
  <si>
    <t>Código</t>
  </si>
  <si>
    <r>
      <t xml:space="preserve">Impacto  
¿Qué?:
</t>
    </r>
    <r>
      <rPr>
        <sz val="11"/>
        <color theme="1"/>
        <rFont val="Verdana"/>
        <family val="2"/>
      </rPr>
      <t xml:space="preserve">Las consecuencias que puede ocasionar al INM materialización del riesgo. </t>
    </r>
  </si>
  <si>
    <r>
      <t xml:space="preserve">Descripción del Riesgo: 
</t>
    </r>
    <r>
      <rPr>
        <sz val="11"/>
        <color theme="1"/>
        <rFont val="Verdana"/>
        <family val="2"/>
      </rPr>
      <t>Posibilidad de afectación (impacto) sobre los objetivos del INM, debido a eventos potenciales.</t>
    </r>
  </si>
  <si>
    <r>
      <t xml:space="preserve">Causa inmediata ¿Cómo?:
</t>
    </r>
    <r>
      <rPr>
        <sz val="11"/>
        <color rgb="FF000000"/>
        <rFont val="Verdana"/>
        <family val="2"/>
      </rPr>
      <t>Circunstancias bajo las cuales se presenta el riesgo, pero no
constituyen la causa principal o base para que se presente el riesgo.</t>
    </r>
  </si>
  <si>
    <r>
      <t xml:space="preserve">Causa raíz 
¿Por qué?: 
</t>
    </r>
    <r>
      <rPr>
        <sz val="11"/>
        <color theme="1"/>
        <rFont val="Verdana"/>
        <family val="2"/>
      </rPr>
      <t>Causa principal o básica,
corresponde a las razones por la cual se puede presentar el riesgo</t>
    </r>
    <r>
      <rPr>
        <b/>
        <sz val="11"/>
        <color theme="1"/>
        <rFont val="Verdana"/>
        <family val="2"/>
      </rPr>
      <t>.</t>
    </r>
  </si>
  <si>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</si>
  <si>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</si>
  <si>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</si>
  <si>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</si>
  <si>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</si>
  <si>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</si>
  <si>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</si>
  <si>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</si>
  <si>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</si>
  <si>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</si>
  <si>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</si>
  <si>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</si>
  <si>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Descripción de la acción</t>
  </si>
  <si>
    <t>Soporte</t>
  </si>
  <si>
    <t>Responsable</t>
  </si>
  <si>
    <t>Fecha Implementación</t>
  </si>
  <si>
    <t xml:space="preserve">Referencia </t>
  </si>
  <si>
    <t>Objetivo del proceso</t>
  </si>
  <si>
    <t>Alcance del proceso</t>
  </si>
  <si>
    <r>
      <rPr>
        <b/>
        <sz val="11"/>
        <color rgb="FF000000"/>
        <rFont val="Verdana"/>
      </rPr>
      <t xml:space="preserve">Descripción del Riesgo: 
</t>
    </r>
    <r>
      <rPr>
        <sz val="11"/>
        <color rgb="FF000000"/>
        <rFont val="Verdana"/>
      </rPr>
      <t>Posibilidad de afectación (impacto) sobre los objetivos del INM, debido a eventos potenciales.</t>
    </r>
  </si>
  <si>
    <t>Tipo</t>
  </si>
  <si>
    <t>Implementación</t>
  </si>
  <si>
    <t>Calificación</t>
  </si>
  <si>
    <t>Documentación</t>
  </si>
  <si>
    <t>Frecuencia</t>
  </si>
  <si>
    <t>Evidencia</t>
  </si>
  <si>
    <t>E01-R1</t>
  </si>
  <si>
    <t>(E-01)
Direccionamiento Estratégico y Planeación</t>
  </si>
  <si>
    <t>Reputacional</t>
  </si>
  <si>
    <t>Posibilidad de afectación reputacional por reporte de información no veraz debido a debilidades en el seguimiento a los proyectos de inversión públicos</t>
  </si>
  <si>
    <t>Reporte de información no veraz</t>
  </si>
  <si>
    <t>Debilidades en el seguimiento a los proyectos de inversión públicos</t>
  </si>
  <si>
    <t>Ejecución y Administración de procesos</t>
  </si>
  <si>
    <t>Estratégico</t>
  </si>
  <si>
    <t>El riesgo afecta la imagen de la entidad con algunos usuarios de relevancia frente al logro de los objetivos</t>
  </si>
  <si>
    <t>Menor</t>
  </si>
  <si>
    <t xml:space="preserve">El Profesional de la OAP con el rol de Control Técnico en Proyectos de Inversión Públicos, valida que la información reportada por los Gerentes de proyecto en el SPI del avance en las metas establecidas, sea veraz y coherente. </t>
  </si>
  <si>
    <t>Preventivo</t>
  </si>
  <si>
    <t>Manual</t>
  </si>
  <si>
    <t>Sin Documentar</t>
  </si>
  <si>
    <t>Continua</t>
  </si>
  <si>
    <t>Con Registro</t>
  </si>
  <si>
    <t>Reducir (mitigar)</t>
  </si>
  <si>
    <t xml:space="preserve">NO. Por favor diligencie las siguientes dos columnas indicando que no aplica </t>
  </si>
  <si>
    <t>No aplica</t>
  </si>
  <si>
    <t xml:space="preserve">Linda Karina Petro </t>
  </si>
  <si>
    <t xml:space="preserve">NO. Por favor diligencie las siguientes dos columnas indicando que No aplica </t>
  </si>
  <si>
    <t>E01-R2</t>
  </si>
  <si>
    <t>Posibilidad de afectación reputacional por solicitud de CDP discordante con el plan anual de adquisiciones debido a que los proyectos de inversión no planifican todo lo que van a contratar en la vigencia.</t>
  </si>
  <si>
    <t>Solicitud de CDP discordante con el plan anual de adquisiciones</t>
  </si>
  <si>
    <t>No incluir en el plan anual de adquisiciones todo lo que se piensa contratar en la vigencia.</t>
  </si>
  <si>
    <t xml:space="preserve">El  Profesional de la OAP encargado de la revisión de CDP, valida la información reportada en la solicitud por el gerente del proyecto y lo contrasta con el plan anual de adquisiciones de la entidad, para que no se presente ninguna novedad  y así poder dar  continuidad  con los tramites correspondientes. </t>
  </si>
  <si>
    <t>Aleatoria</t>
  </si>
  <si>
    <t>E01-R3</t>
  </si>
  <si>
    <t xml:space="preserve">Posibilidad de afectación reputacional por reporte y análisis de información no veraz debido a que la información recopilada de las bases de datos no son corroboradas con las áreas </t>
  </si>
  <si>
    <t>Reporte y análisis de información no veraz</t>
  </si>
  <si>
    <t>Bases de datos no contrastadas con la información de las áreas</t>
  </si>
  <si>
    <t xml:space="preserve">     El riesgo afecta la imagen de la entidad internamente, de conocimiento general, nivel interno, de junta directiva y accionistas y/o de proveedores</t>
  </si>
  <si>
    <t xml:space="preserve">El Profesional de la OAP encargado de los informes estadísticos, valida la información reportada por la SSMRC y lo contrasta con la información de las áreas, para que esta sea coherente , veraz y así poder realizar el respectivo análisis, si se encuentran inconsistencias se registran en las observaciones del informe estadístico que se radica al área correspondiente. </t>
  </si>
  <si>
    <t>Correctivo</t>
  </si>
  <si>
    <t>E01-R4</t>
  </si>
  <si>
    <t>Posibilidad de afectación reputacional por reporte de las tasas fuera de los tiempos establecidos debido a que la información para el cálculo de las tasas se recibe después del tiempo límite establecido en el instructivo</t>
  </si>
  <si>
    <t>Reporte de las tasas fuera de los tiempos establecidos</t>
  </si>
  <si>
    <t>La información para el cálculo de las tasas se recibe después del tiempo límite establecido en el instructivo.</t>
  </si>
  <si>
    <t xml:space="preserve">     El riesgo afecta la imagen de la entidad con algunos usuarios de relevancia frente al logro de los objetivos</t>
  </si>
  <si>
    <t>El Profesional de la OAP encargado de la realización del calculo de las tasas, solicita la información 30 días antes de la fecha establecida en el instructivo , para tener las tasas de los servicios aprobadas en los tiempos establecidos y así poder realizar la resolución de tasas.</t>
  </si>
  <si>
    <t>Sin Registro</t>
  </si>
  <si>
    <t>E01-R5</t>
  </si>
  <si>
    <t>Posibilidad de afectación reputacional por la falta de formulación, ejecución, seguimiento y evaluación de los planes y acciones estratégicas del INM debido al incumplimiento de los requisitos documentados (internos y externos) para la planeación estratégica .</t>
  </si>
  <si>
    <t>* Incumplimiento de los requisitos documentados para la planeación estratégica (interno y externo).
- Falta de análisis por parte de la OAP de los lineamientos gubernamentales relacionados a la planeación estratégica.
- Falta de adopción de la metodología de planeación por parte del personal para formular actividades en el plan de acción y las iniciativas de la estrategia.
- Carencia de capacidades para la formulación, ejecución, seguimiento y evaluación de la planeación estratégica.
- Factores externos que afecten los recursos del INM y así, la ejecución de la planeación estratégica.</t>
  </si>
  <si>
    <t>Incumplimiento de los requisitos documentados (internos y externos) para la planeación estratégica.</t>
  </si>
  <si>
    <t xml:space="preserve">Control 1: Formular planes y acciones estrategicas en el INM.
Responsable: 	Líder del plan o acciones estratégicas.
Cómo se realiza la actividad: Los líderes de procesos del INM, en la formulación de la planeación estratégica los cuales, establecen las actividades y metas del plan de acción teniendo en cuenta lo establecido en el numeral 6.1 del procedimiento E-01-P-002 FORMULACIÓN, SEGUIMIENTO Y EVALUACIÓN DEL PLAN DE ACCIÓN ANUAL.
Propósito: Estructurar coherentemente al cumplimiento de los objetivos de la planeación estratégica. 
Periodicidad: Una vez al año.
Qué pasa con las observaciones o desviaciones: En caso de presentar falencias metodológicas en la formulación se solicitará al OAP asesoría metodológica. De igual manera, si en la revisión de la información metodologícamente algún ajustes en el plan, se realizan las observaciones correspondientes y se informa al proceso involucrado para el cambio respectivo.
Evidencia de la ejecución del control: E-01-F-008 FORMULACIÓN Y SEGUIMIENTO AL PLAN DE ACCIÓN.
Documentado:
E-01-P-006 - FORMULACIÓN, SEGUIMIENTO Y EVALUACIÓN DEL PLAN ESTRATÉGICO INSTITUCIONAL, PEI
E-01-P-005 - PARTICIPACIÓN Y SEGUIMIENTO CONPES
E-01-P-012 - FORMULACIÓN, SEGUIMIENTO Y EVALUACIÓN DE LOS PLANES Y/O PROGRAMAS INSTITUCIONALES
E-01-P-011 -  FORMULACIÓN, SEGUIMIENTO Y EVALUACIÓN DEL PROGRAMA DE TRANSPARENCIA Y ÉTICA PÚBLICA
E-01-P-002 FORMULACIÓN, SEGUIMIENTO Y EVALUACIÓN DEL PLAN DE ACCIÓN ANUAL
</t>
  </si>
  <si>
    <t>Documentado</t>
  </si>
  <si>
    <t xml:space="preserve">Actualización del procedmiento E-01-P-002 FORMULACIÓN, SEGUIMIENTO Y EVALUACIÓN DEL PLAN DE ACCIÓN ANUAL en su versión 5, en el numeral 7.4. </t>
  </si>
  <si>
    <t>E-01-P-002 FORMULACIÓN, SEGUIMIENTO Y EVALUACIÓN DEL PLAN DE ACCIÓN ANUAL, versión 5, disponible en Isolución</t>
  </si>
  <si>
    <t>Luis Angel Alberto Maestre Gutierrez</t>
  </si>
  <si>
    <t>*Realizar seguimiento al cumplimiento de las actividades de la planeación estratégica insitucional (PES,PEI,ID)
- Realizar seguimiento al cumplimiento de las actividades asociadas a los CONPES
- Avance de cumplimiento al Programa de Transparencia y Ética Pública permitiendo alcanzar las metas</t>
  </si>
  <si>
    <t xml:space="preserve">Control 2: Aprobar planes y acciones estrategicas del INM.
Responsable: 	Comité Institucional de Gestión y Desempeño (CIGD). 
Cómo se realiza la actividad: El Profesional especializado de la OAP presenta el plan de acción formulado ante el CIGD para la revisión y aprobación de este comité. 
Propósito: Asegurar la alineación estratégica de las actividades planteadas con los objetivos estratégicos. 
Periodicidad:  Una vez al año.
Qué pasa con las observaciones o desviaciones: Si el CIGD no aprueba el plan de acción, se ajustan los comentarios respectivos y se presenta nuevamente ante este comité. 
Evidencia de la ejecución del control: Acta Comité Institucional de Gestión y Desempeño (CIGD)
Documentado:
E-01-P-006 - FORMULACIÓN, SEGUIMIENTO Y EVALUACIÓN DEL PLAN ESTRATÉGICO INSTITUCIONAL, PEI
E-01-P-005 - PARTICIPACIÓN Y SEGUIMIENTO CONPES
E-01-P-012 - FORMULACIÓN, SEGUIMIENTO Y EVALUACIÓN DE LOS PLANES Y/O PROGRAMAS INSTITUCIONALES
E-01-P-011 -  FORMULACIÓN, SEGUIMIENTO Y EVALUACIÓN DEL PROGRAMA DE TRANSPARENCIA Y ÉTICA PÚBLICA
E-01-P-002 FORMULACIÓN, SEGUIMIENTO Y EVALUACIÓN DEL PLAN DE ACCIÓN ANUAL
</t>
  </si>
  <si>
    <t>Detectivo</t>
  </si>
  <si>
    <t xml:space="preserve">Control 3: Hacer seguimiento y modificaciones a planes y acciones estratégicas del INM. 
Responsable: 	Profesional especializado de la OAP
Cómo se realiza la actividad: Profesional especializado de la OAP realiza el  seguimiento mensual y trimestral a través del análisis de las evidencias enviadas por las áreas, verificando que sean coherentes y pertinentes con las actividades y entregables previamente establecidos en el plan de acción, teniendo en cuenta el numeral 6.2.2 del procedimiento E-01-P-002 FORMULACIÓN, SEGUIMIENTO Y EVALUACIÓN DEL PLAN DE ACCIÓN ANUAL.
Por otra parte, las áreas pueden solicitar a la OAP, modificaciones al plan de acción anual de manera trimestral como lo indica el numeral  6.3.1. del procedimiento E-01-P-002 FORMULACIÓN, SEGUIMIENTO Y EVALUACIÓN DEL PLAN DE ACCIÓN ANUAL
Propósito: Verificar la coherencia y pertinencia de la información.
Periodicidad: Trimestral.
Qué pasa con las observaciones o desviaciones: Si el profesional especializado de la OAP, encuentra incongruencias con las evidencias del seguimiento y de las modificaciones solicitadas,  envia correo electrónico informando al proceso como lo indica  el numeral 6.2.2. del procedimiento E-01-P-002 FORMULACIÓN, SEGUIMIENTO Y EVALUACIÓN DEL PLAN DE ACCIÓN ANUAL.
Evidencia de la ejecución del control: E-01-F-008 FORMULACIÓN Y SEGUIMIENTO AL PLAN DE ACCIÓN, E-01-F-011 SOLICITUD DE MODIFICACIÓN PLANEACIÓN ESTRATÉGICA, correo electrónico.
Documentado: 
E-01-P-006 - FORMULACIÓN, SEGUIMIENTO Y EVALUACIÓN DEL PLAN ESTRATÉGICO INSTITUCIONAL, PEI
E-01-P-005 - PARTICIPACIÓN Y SEGUIMIENTO CONPES
E-01-P-012 - FORMULACIÓN, SEGUIMIENTO Y EVALUACIÓN DE LOS PLANES Y/O PROGRAMAS INSTITUCIONALES
E-01-P-011 -  FORMULACIÓN, SEGUIMIENTO Y EVALUACIÓN DEL PROGRAMA DE TRANSPARENCIA Y ÉTICA PÚBLICA
E-01-P-002 FORMULACIÓN, SEGUIMIENTO Y EVALUACIÓN DEL PLAN DE ACCIÓN ANUAL
</t>
  </si>
  <si>
    <t xml:space="preserve">Control 4: Aprobar el seguimiento y solicitudes de modificación a planes y acciones estratégicas del INM. 
Responsable: 	Comité Institucional de Gestión y Desempeño (CIGD). 
Cómo se realiza la actividad:  El profesional especializado de la OAP presenta el seguimiento y  solicitudes de modificaciónes para la aprobación ante el CIGD.
Propósito: Aprobar el seguimiento y  modificaciones a la planeación estratégica y acciones del INM. 
Periodicidad: Trimestral
Qué pasa con las observaciones o desviaciones:  Si se aprueba el seguimiento y los cambios solicitados por las áreas, se procede a realizar los cambios en el plan de acción.
 Si no se aprueban, se realizan los ajustes respectivos y se presenta nuevamente ante el CIGD.
Evidencia de la ejecución del control:  Presentación ejecutiva del seguimiento y las modificaciones en el  formato E-01-F-011 SOLICITUD DE MODIFICACIÓN PLANEACIÓN ESTRATÉGICA.
Documentado: 
E-01-P-006 - FORMULACIÓN, SEGUIMIENTO Y EVALUACIÓN DEL PLAN ESTRATÉGICO INSTITUCIONAL, PEI
E-01-P-005 - PARTICIPACIÓN Y SEGUIMIENTO CONPES
E-01-P-012 - FORMULACIÓN, SEGUIMIENTO Y EVALUACIÓN DE LOS PLANES Y/O PROGRAMAS INSTITUCIONALES
E-01-P-011 -  FORMULACIÓN, SEGUIMIENTO Y EVALUACIÓN DEL PROGRAMA DE TRANSPARENCIA Y ÉTICA PÚBLICA
E-01-P-002 FORMULACIÓN, SEGUIMIENTO Y EVALUACIÓN DEL PLAN DE ACCIÓN ANUAL
</t>
  </si>
  <si>
    <t xml:space="preserve">Control 5: Revisar el cumplimiento de los planes y acciones estratégicas del INM. 
Responsable:	Profesional especializado de la OAP. 
Cómo se realiza la actividad: 	El profesional especializado de la OAP realiza y presenta ante el CIGD, el informe anual de seguimiento y evaluación del cumplimiento del PAA. Este informe se elabora como lo indica el numeral 6.4.1 en el procedimiento E-01-P-002 FORMULACIÓN, SEGUIMIENTO Y EVALUACIÓN DEL PLAN DE ACCIÓN ANUAL
Propósito: Evaluar la eficacia de las evidencias de la planeación estratégica y acciones del INM.. 
Periodicidad: Anual
Qué pasa con las observaciones o desviaciones: En el caso en que el profesional encuentra incongruencias con las evidencias durante la evaluación, puede programar mesas de trabajo con las áreas responsables cuando sea necesario, con la finalidad de un mejor entendimiento de estas incongruencias o mejoras a realizar.
Evidencia de la ejecución del control:  E-02-F-011 Modelo de Informe
Documentado: 
E-01-P-006 - FORMULACIÓN, SEGUIMIENTO Y EVALUACIÓN DEL PLAN ESTRATÉGICO INSTITUCIONAL, PEI
E-01-P-005 - PARTICIPACIÓN Y SEGUIMIENTO CONPES
E-01-P-012 - FORMULACIÓN, SEGUIMIENTO Y EVALUACIÓN DE LOS PLANES Y/O PROGRAMAS INSTITUCIONALES
E-01-P-011 -  FORMULACIÓN, SEGUIMIENTO Y EVALUACIÓN DEL PROGRAMA DE TRANSPARENCIA Y ÉTICA PÚBLICA
E-01-P-002 FORMULACIÓN, SEGUIMIENTO Y EVALUACIÓN DEL PLAN DE ACCIÓN ANUAL
</t>
  </si>
  <si>
    <t xml:space="preserve">Control 6: Evaluar el cumplimiento de los planes y acciones estratégicas del INM. 
Responsable: Comité Institucional de Gestión y Desempeño (CIGD). 
Cómo se realiza la actividad: El profesional especializado de la OAP presenta el informe anual de seguimiento y evaluación del cumplimiento del PAA como lo indica el numeral 6.4.1 en el procedimiento E-01-P-002 FORMULACIÓN, SEGUIMIENTO Y EVALUACIÓN DEL PLAN DE ACCIÓN ANUAL
Propósito: Evaluar la eficacia de las evidencias de la planeación estratégica y acciones del INM.. 
Periodicidad: Anual
Qué pasa con las observaciones o desviaciones: Si se aprueba la evaluación de la planeación estratégica y acciones del INM el comité se da por enterado del cierre de la vigencia. 
 Si no se aprueban, se realizan los ajustes respectivos y se tienen en cuenta para la siguiente vigencia.
Evidencia de la ejecución del control:  E-02-F-011 Modelo de Informe
Documentado: 
E-01-P-006 - FORMULACIÓN, SEGUIMIENTO Y EVALUACIÓN DEL PLAN ESTRATÉGICO INSTITUCIONAL, PEI
E-01-P-005 - PARTICIPACIÓN Y SEGUIMIENTO CONPES
E-01-P-012 - FORMULACIÓN, SEGUIMIENTO Y EVALUACIÓN DE LOS PLANES Y/O PROGRAMAS INSTITUCIONALES
E-01-P-011 -  FORMULACIÓN, SEGUIMIENTO Y EVALUACIÓN DEL PROGRAMA DE TRANSPARENCIA Y ÉTICA PÚBLICA
E-01-P-002 FORMULACIÓN, SEGUIMIENTO Y EVALUACIÓN DEL PLAN DE ACCIÓN ANUAL
</t>
  </si>
  <si>
    <t>E01-R8</t>
  </si>
  <si>
    <t>Económico y Reputacional</t>
  </si>
  <si>
    <t>Posibilidad de afectación reputacional y económica por quejas de clientes internos o externos dado por fallas en la prestación del servicio por parte del INM debido a los posibles defectos de la toma de decisiones sin objetividad o imparcialidad por parte de la alta dirección.</t>
  </si>
  <si>
    <t xml:space="preserve">Presiones indebidas comerciales o financieras
Falta de lectura de la información enviada previa al CIGD por parte de los miembros. 
Falta de control de los votos en la aprobación o no de los temas presentados. </t>
  </si>
  <si>
    <t>Toma de decisiones sin objetividad o imparcialidad.</t>
  </si>
  <si>
    <t>Usuarios, productos y prácticas organizacionales</t>
  </si>
  <si>
    <t xml:space="preserve">     El riesgo afecta la imagen de de la entidad con efecto publicitario sostenido a nivel de sector administrativo, nivel departamental o municipal</t>
  </si>
  <si>
    <t>El jefe de la OAP o a quien designe, durante el comité, pone a consideración de cada integrante con voz y voto del CIGD, la aprobación o desaprobación del tema presentado en dicha reunión. 
Registro: Acta del CIGD.</t>
  </si>
  <si>
    <t>El subdirector, jefe de área o a quien este designe, presenta ante el CIGD el seguimiento de las propuestas relevantes de cambios, proyectos, mejoras, que hayan sido aprobados en CIGD previos teniendo en cuenta lo estipulado en el procedimiento de gestión del cambio. 
Registro: Acta del CIGD.</t>
  </si>
  <si>
    <t>El subdirector, jefe de área o a quien este designe, presenta ante el CIGD las propuestas de cambio teniendo en cuenta lo estipulado en el procedimiento de gestión del cambio. 
Registro: Acta del CIGD.</t>
  </si>
  <si>
    <t>E01-R9</t>
  </si>
  <si>
    <t>Posibilidad de afectación económica por la inadecuada adopción de lineamientos establecidos por el MHCP para la elaboración del anteproyecto de presupuesto</t>
  </si>
  <si>
    <t xml:space="preserve">
Inadecuados lineamientos adoptados en la elaboración del anteproyecto de presupuesto
Falta de personal competente para realizar la elaboración del Anteproyecto de presupuesto
Desarticulación de las áreas involucradas para realizar la elaboración del Anteproyecto de presupuesto
Falta de conocimiento sobre el proceso de elaboración y cargue en el aplicativo SIIF</t>
  </si>
  <si>
    <t>Inadecuados lineamientos adoptados en la elaboración del anteproyecto de presupuesto</t>
  </si>
  <si>
    <r>
      <rPr>
        <b/>
        <sz val="11"/>
        <rFont val="Arial Narrow"/>
        <family val="2"/>
      </rPr>
      <t>Control 1</t>
    </r>
    <r>
      <rPr>
        <sz val="11"/>
        <rFont val="Arial Narrow"/>
        <family val="2"/>
      </rPr>
      <t xml:space="preserve">: Registrar la información en los formulario del MHCP
</t>
    </r>
    <r>
      <rPr>
        <b/>
        <sz val="11"/>
        <rFont val="Arial Narrow"/>
        <family val="2"/>
      </rPr>
      <t>Responsable:</t>
    </r>
    <r>
      <rPr>
        <sz val="11"/>
        <rFont val="Arial Narrow"/>
        <family val="2"/>
      </rPr>
      <t xml:space="preserve"> 	Profesional apoyo presupuesto de cada área 
</t>
    </r>
    <r>
      <rPr>
        <b/>
        <sz val="11"/>
        <rFont val="Arial Narrow"/>
        <family val="2"/>
      </rPr>
      <t>Cómo se realiza la actividad</t>
    </r>
    <r>
      <rPr>
        <sz val="11"/>
        <rFont val="Arial Narrow"/>
        <family val="2"/>
      </rPr>
      <t xml:space="preserve">: El profesional procede a registrar la información de las necesidades presupuestales de cada area en los respectivos formatos del MHCP.
</t>
    </r>
    <r>
      <rPr>
        <b/>
        <sz val="11"/>
        <rFont val="Arial Narrow"/>
        <family val="2"/>
      </rPr>
      <t>Propósito:</t>
    </r>
    <r>
      <rPr>
        <sz val="11"/>
        <rFont val="Arial Narrow"/>
        <family val="2"/>
      </rPr>
      <t xml:space="preserve">  Registrar la información del área en los formularios establecidos
</t>
    </r>
    <r>
      <rPr>
        <b/>
        <sz val="11"/>
        <rFont val="Arial Narrow"/>
        <family val="2"/>
      </rPr>
      <t>Periodicidad:</t>
    </r>
    <r>
      <rPr>
        <sz val="11"/>
        <rFont val="Arial Narrow"/>
        <family val="2"/>
      </rPr>
      <t xml:space="preserve">  Anual
</t>
    </r>
    <r>
      <rPr>
        <b/>
        <sz val="11"/>
        <rFont val="Arial Narrow"/>
        <family val="2"/>
      </rPr>
      <t>Qué pasa con las observaciones o desviaciones</t>
    </r>
    <r>
      <rPr>
        <sz val="11"/>
        <rFont val="Arial Narrow"/>
        <family val="2"/>
      </rPr>
      <t xml:space="preserve">:  Se solicita acompañamiento al MHCP o a la OAP cuando aplique
</t>
    </r>
    <r>
      <rPr>
        <b/>
        <sz val="11"/>
        <rFont val="Arial Narrow"/>
        <family val="2"/>
      </rPr>
      <t xml:space="preserve">Evidencia de la ejecución del control: </t>
    </r>
    <r>
      <rPr>
        <sz val="11"/>
        <rFont val="Arial Narrow"/>
        <family val="2"/>
      </rPr>
      <t xml:space="preserve">Registros de los formularios establecidos
</t>
    </r>
    <r>
      <rPr>
        <b/>
        <sz val="11"/>
        <rFont val="Arial Narrow"/>
        <family val="2"/>
      </rPr>
      <t>Documentado</t>
    </r>
    <r>
      <rPr>
        <sz val="11"/>
        <rFont val="Arial Narrow"/>
        <family val="2"/>
      </rPr>
      <t>: E-01-P-003 	ELABORACIÓN DEL ANTEPROYECTO PRESUPUESTAL</t>
    </r>
  </si>
  <si>
    <t xml:space="preserve">No se establece acción para abordar el riesgo dado que la Zona de Riesgo Final queda en nivel bajo, es decir, se evidencia en su último control (#4) . 
Criterio: Lineamiento establecido en el procedimiento E-02-P-009 Gestión de los riesgos. </t>
  </si>
  <si>
    <t>Seguimientos a la ejecución presupuestal en los gastos de inversion, funcionamiento e ingresos</t>
  </si>
  <si>
    <r>
      <rPr>
        <b/>
        <sz val="11"/>
        <rFont val="Arial Narrow"/>
        <family val="2"/>
      </rPr>
      <t>Control 2</t>
    </r>
    <r>
      <rPr>
        <sz val="11"/>
        <rFont val="Arial Narrow"/>
        <family val="2"/>
      </rPr>
      <t xml:space="preserve">: Aprobación CIGD
</t>
    </r>
    <r>
      <rPr>
        <b/>
        <sz val="11"/>
        <rFont val="Arial Narrow"/>
        <family val="2"/>
      </rPr>
      <t>Responsable:</t>
    </r>
    <r>
      <rPr>
        <sz val="11"/>
        <rFont val="Arial Narrow"/>
        <family val="2"/>
      </rPr>
      <t xml:space="preserve"> 	Miembros CIGD - Jefe OAP
</t>
    </r>
    <r>
      <rPr>
        <b/>
        <sz val="11"/>
        <rFont val="Arial Narrow"/>
        <family val="2"/>
      </rPr>
      <t>Cómo se realiza la actividad</t>
    </r>
    <r>
      <rPr>
        <sz val="11"/>
        <rFont val="Arial Narrow"/>
        <family val="2"/>
      </rPr>
      <t xml:space="preserve">: El jefe de la OAP hace la presentación de la distribución presupuestal para la siguiente vigencia
</t>
    </r>
    <r>
      <rPr>
        <b/>
        <sz val="11"/>
        <rFont val="Arial Narrow"/>
        <family val="2"/>
      </rPr>
      <t>Propósito:</t>
    </r>
    <r>
      <rPr>
        <sz val="11"/>
        <rFont val="Arial Narrow"/>
        <family val="2"/>
      </rPr>
      <t xml:space="preserve">  Aprobar los valores presupuestales que se solitan para la siguiente vigencia
</t>
    </r>
    <r>
      <rPr>
        <b/>
        <sz val="11"/>
        <rFont val="Arial Narrow"/>
        <family val="2"/>
      </rPr>
      <t>Periodicidad:</t>
    </r>
    <r>
      <rPr>
        <sz val="11"/>
        <rFont val="Arial Narrow"/>
        <family val="2"/>
      </rPr>
      <t xml:space="preserve">  Anual
</t>
    </r>
    <r>
      <rPr>
        <b/>
        <sz val="11"/>
        <rFont val="Arial Narrow"/>
        <family val="2"/>
      </rPr>
      <t>Qué pasa con las observaciones o desviaciones</t>
    </r>
    <r>
      <rPr>
        <sz val="11"/>
        <rFont val="Arial Narrow"/>
        <family val="2"/>
      </rPr>
      <t xml:space="preserve">:  Se envía al área involucrada para realizar el respectivo ajuste
</t>
    </r>
    <r>
      <rPr>
        <b/>
        <sz val="11"/>
        <rFont val="Arial Narrow"/>
        <family val="2"/>
      </rPr>
      <t xml:space="preserve">Evidencia de la ejecución del control: </t>
    </r>
    <r>
      <rPr>
        <sz val="11"/>
        <rFont val="Arial Narrow"/>
        <family val="2"/>
      </rPr>
      <t xml:space="preserve">Acta CIGD
</t>
    </r>
    <r>
      <rPr>
        <b/>
        <sz val="11"/>
        <rFont val="Arial Narrow"/>
        <family val="2"/>
      </rPr>
      <t>Documentado</t>
    </r>
    <r>
      <rPr>
        <sz val="11"/>
        <rFont val="Arial Narrow"/>
        <family val="2"/>
      </rPr>
      <t>: E-01-P-003 	ELABORACIÓN DEL ANTEPROYECTO PRESUPUESTAL</t>
    </r>
  </si>
  <si>
    <r>
      <rPr>
        <b/>
        <sz val="11"/>
        <rFont val="Arial Narrow"/>
        <family val="2"/>
      </rPr>
      <t>Control 3</t>
    </r>
    <r>
      <rPr>
        <sz val="11"/>
        <rFont val="Arial Narrow"/>
        <family val="2"/>
      </rPr>
      <t xml:space="preserve">: Verificar la calidad y pertinencia de la información registrada
</t>
    </r>
    <r>
      <rPr>
        <b/>
        <sz val="11"/>
        <rFont val="Arial Narrow"/>
        <family val="2"/>
      </rPr>
      <t>Responsable:</t>
    </r>
    <r>
      <rPr>
        <sz val="11"/>
        <rFont val="Arial Narrow"/>
        <family val="2"/>
      </rPr>
      <t xml:space="preserve"> Profesional Especializado de la Oficina Asesora de Planeación.
</t>
    </r>
    <r>
      <rPr>
        <b/>
        <sz val="11"/>
        <rFont val="Arial Narrow"/>
        <family val="2"/>
      </rPr>
      <t>Cómo se realiza la actividad</t>
    </r>
    <r>
      <rPr>
        <sz val="11"/>
        <rFont val="Arial Narrow"/>
        <family val="2"/>
      </rPr>
      <t xml:space="preserve">: Una vez registrada y recibida la información de cada área, el profesional de la OAP procede a realizar la respectiva verificación de los datos a través de los formularios establecidos.
</t>
    </r>
    <r>
      <rPr>
        <b/>
        <sz val="11"/>
        <rFont val="Arial Narrow"/>
        <family val="2"/>
      </rPr>
      <t>Propósito:</t>
    </r>
    <r>
      <rPr>
        <sz val="11"/>
        <rFont val="Arial Narrow"/>
        <family val="2"/>
      </rPr>
      <t xml:space="preserve">  Verificar la información registrada por cada área
</t>
    </r>
    <r>
      <rPr>
        <b/>
        <sz val="11"/>
        <rFont val="Arial Narrow"/>
        <family val="2"/>
      </rPr>
      <t>Periodicidad:</t>
    </r>
    <r>
      <rPr>
        <sz val="11"/>
        <rFont val="Arial Narrow"/>
        <family val="2"/>
      </rPr>
      <t xml:space="preserve">  Anual
</t>
    </r>
    <r>
      <rPr>
        <b/>
        <sz val="11"/>
        <rFont val="Arial Narrow"/>
        <family val="2"/>
      </rPr>
      <t>Qué pasa con las observaciones o desviaciones</t>
    </r>
    <r>
      <rPr>
        <sz val="11"/>
        <rFont val="Arial Narrow"/>
        <family val="2"/>
      </rPr>
      <t xml:space="preserve">: Si se encuentran novedades se devuelve al proceso involucrado
</t>
    </r>
    <r>
      <rPr>
        <b/>
        <sz val="11"/>
        <rFont val="Arial Narrow"/>
        <family val="2"/>
      </rPr>
      <t xml:space="preserve">Evidencia de la ejecución del control: </t>
    </r>
    <r>
      <rPr>
        <sz val="11"/>
        <rFont val="Arial Narrow"/>
        <family val="2"/>
      </rPr>
      <t xml:space="preserve">Registros de los formulario establecidos
</t>
    </r>
    <r>
      <rPr>
        <b/>
        <sz val="11"/>
        <rFont val="Arial Narrow"/>
        <family val="2"/>
      </rPr>
      <t>Documentado</t>
    </r>
    <r>
      <rPr>
        <sz val="11"/>
        <rFont val="Arial Narrow"/>
        <family val="2"/>
      </rPr>
      <t>:E-01-P-003 	ELABORACIÓN DEL ANTEPROYECTO PRESUPUESTAL</t>
    </r>
  </si>
  <si>
    <r>
      <rPr>
        <b/>
        <sz val="11"/>
        <rFont val="Arial Narrow"/>
        <family val="2"/>
      </rPr>
      <t>Control 4</t>
    </r>
    <r>
      <rPr>
        <sz val="11"/>
        <rFont val="Arial Narrow"/>
        <family val="2"/>
      </rPr>
      <t xml:space="preserve">: Verificar la calidad y pertinencia de la información registrada en el aplicativo SIIF
</t>
    </r>
    <r>
      <rPr>
        <b/>
        <sz val="11"/>
        <rFont val="Arial Narrow"/>
        <family val="2"/>
      </rPr>
      <t>Responsable:</t>
    </r>
    <r>
      <rPr>
        <sz val="11"/>
        <rFont val="Arial Narrow"/>
        <family val="2"/>
      </rPr>
      <t xml:space="preserve"> Jefe de la Oficina Asesora de Planeación
</t>
    </r>
    <r>
      <rPr>
        <b/>
        <sz val="11"/>
        <rFont val="Arial Narrow"/>
        <family val="2"/>
      </rPr>
      <t>Cómo se realiza la actividad</t>
    </r>
    <r>
      <rPr>
        <sz val="11"/>
        <rFont val="Arial Narrow"/>
        <family val="2"/>
      </rPr>
      <t xml:space="preserve">: Una vez registrada la información de cada área en el aplicativo SIIF por parte del profesional de la OAP, el Jefe de la OAP procede a realizar la respectiva verificación de los datos y aprobación en el aplicativo.
</t>
    </r>
    <r>
      <rPr>
        <b/>
        <sz val="11"/>
        <rFont val="Arial Narrow"/>
        <family val="2"/>
      </rPr>
      <t>Propósito:</t>
    </r>
    <r>
      <rPr>
        <sz val="11"/>
        <rFont val="Arial Narrow"/>
        <family val="2"/>
      </rPr>
      <t xml:space="preserve">  Verificar la información registrada por profesional en el SIIF
</t>
    </r>
    <r>
      <rPr>
        <b/>
        <sz val="11"/>
        <rFont val="Arial Narrow"/>
        <family val="2"/>
      </rPr>
      <t>Periodicidad:</t>
    </r>
    <r>
      <rPr>
        <sz val="11"/>
        <rFont val="Arial Narrow"/>
        <family val="2"/>
      </rPr>
      <t xml:space="preserve">  Anual
</t>
    </r>
    <r>
      <rPr>
        <b/>
        <sz val="11"/>
        <rFont val="Arial Narrow"/>
        <family val="2"/>
      </rPr>
      <t>Qué pasa con las observaciones o desviaciones</t>
    </r>
    <r>
      <rPr>
        <sz val="11"/>
        <rFont val="Arial Narrow"/>
        <family val="2"/>
      </rPr>
      <t xml:space="preserve">: Si se encuentran novedades se devuelve al proceso involucrado
</t>
    </r>
    <r>
      <rPr>
        <b/>
        <sz val="11"/>
        <rFont val="Arial Narrow"/>
        <family val="2"/>
      </rPr>
      <t xml:space="preserve">Evidencia de la ejecución del control: </t>
    </r>
    <r>
      <rPr>
        <sz val="11"/>
        <rFont val="Arial Narrow"/>
        <family val="2"/>
      </rPr>
      <t xml:space="preserve">Reporte del aplicativo SIIF
</t>
    </r>
    <r>
      <rPr>
        <b/>
        <sz val="11"/>
        <rFont val="Arial Narrow"/>
        <family val="2"/>
      </rPr>
      <t>Documentado</t>
    </r>
    <r>
      <rPr>
        <sz val="11"/>
        <rFont val="Arial Narrow"/>
        <family val="2"/>
      </rPr>
      <t>:E-01-P-003 	ELABORACIÓN DEL ANTEPROYECTO PRESUPUESTAL</t>
    </r>
  </si>
  <si>
    <t>E02-R1</t>
  </si>
  <si>
    <t>(E-02)
Administración del Sistema Integrado de Gestión</t>
  </si>
  <si>
    <t>Posibilidad de afectación reputacional por el uso de documentos no oficiales (versiones obsoletas), cambio de normas o requisitos y otros documentos de referencia y por el desconocimiento del SIG por parte del personal de INM.</t>
  </si>
  <si>
    <t>1. Uso de documentos no oficiales (versiones obsoletas)
2. Cambio de normas o requisitos</t>
  </si>
  <si>
    <t>Desconocimiento del SIG</t>
  </si>
  <si>
    <t>Operativo</t>
  </si>
  <si>
    <t>El responsable del proceso que elabora o actualiza un documento, garantiza que su personal conoce cuales son los documentos que se encuentran vigentes para el desarrollo de sus actividades a través de la solicitud a la OAP, del respectivo acceso a Isolución bien sea para la consulta o actualización de los documentos de su proceso. (Registro: Correo electrónico del jefe de proceso para el personal de la OAP)</t>
  </si>
  <si>
    <t>El responsable del proceso, actualiza el listado maestro de documentos del proceso a través de Isolución al momento en que se crea o se crea una versión del documento (Registro: documento disponible desde listado maestro de documentos).</t>
  </si>
  <si>
    <t>El profesional designado en la OAP verifica que desde los procesos se hayan revisado y actualizado los requisitos legales o documentos externos aplicables al proceso, a través del envío de correo electrónico al personal de apoyo de calidad de cada proceso (Registro: Correo electrónico o matriz de seguimiento a requisitos legales/Docs. externos)</t>
  </si>
  <si>
    <t>E02-R2</t>
  </si>
  <si>
    <t>Posibilidad de afectación reputacional como consecuencia de la pérdida de reconocimiento internacional, debido al incumplimiento o retraso en el cierre de las acciones de mejora del instituto, por la limitada asignación de recursos para su desarrollo e implementación.</t>
  </si>
  <si>
    <t>1. Desconocimiento del estado de las acciones de cada uno de los planes de mejoramiento de los procesos
2. Limitaciones para asignar o reasignar y hacer seguimiento a las No Conformidades en casos de rotación de personal.
3. Al momento en que se genera un hallazgo transversal, se analizan y se generan acciones conjuntas sin los responsables de las áreas directamente involucradas en dicho hallazgo.
4. Limitada asignación prespuestal y de infraestructura para la atención de los hallazgos.</t>
  </si>
  <si>
    <t xml:space="preserve">Baja asignación de recursos para el desarrollo o implementación de las acciones. </t>
  </si>
  <si>
    <t xml:space="preserve">Control 1: Consolidación de la información
Propósito: Asegurar la verificación de la consistencia y calidad de los datos procesados antes de continuar.
Responsable: Profesional de la OAP
¿Cómo se hace el control?: Descarga de la Información accediendo a ISOLUCIÓN y realizando una consulta en la opción Mejora seleccionando "Reporte de Mejoramiento".
Posteriormente, se descarga el reporte generado para su procesamiento a través de un script en Python el cual permite realizar los ajustes en la estructura del reporte (descombinar campos, renombrar campos, entre otros), necesarios para consolidar la información en los archivos Excel que se encuentra enlazado al informe de visualización Power BI.
Periodicidad: Quincenal
Evidencia: Archivo de Excel e informes Power BI alojados en repositorio de SharePoint 
Desviaciones/Observaciones: En caso de que los datos del archivo de Excel no concuerden con el aplicativo Isolución, es necesario validar la información que se encuentra en el aplicativo ISOLUCIÓN y, de ser necesario, ajustar el archivo Excel en donde se esté presentando la inconsistencia.
Documentado: E-02-P-003 ACCIONES CORRECTIVAS Y DE MEJORA </t>
  </si>
  <si>
    <t xml:space="preserve">Complementar la actividad # 14 del numeral 7 del procedimiento E-02-P-003 ACCIONES CORRECTIVAS Y DE MEJORA incluyendo las desviaciones u observaciones y la periodicidad que complementan este control (especificar la información adicional que no arroja Isolución). </t>
  </si>
  <si>
    <t>E-02-P-003 ACCIONES CORRECTIVAS Y DE MEJORA</t>
  </si>
  <si>
    <t xml:space="preserve">Profesional universitario grado 15 o 16 del GIT del SIG. </t>
  </si>
  <si>
    <t>Cambio trimestral efectivo de acciones en el SIG</t>
  </si>
  <si>
    <t>Control 2: Envío de alertas tempranas
Propósito: Realizar un seguimiento y alertar a los procesos periódicamente sobre el estado de las acciones de mejora que se encuentran abiertas. 
Responsable: Profesional del GIT del SIG de la OAP o a quien designe. 
¿Cómo se hace el control?: Se descarga la información accediendo a ISOLUCIÓN, realizando una consulta desde el módulo de Mejora seleccionando la opción de "Reporte de Mejoramiento".
Posteriormente, el reporte generado es procesado a través de un script en Python el cual permite realizar los ajustes en la estructura del reporte (descombinar campos, renombrar campos, entre otros), necesarios para consolidar la información en el archivo Excel que se encuentra enlazado al informe de visualización Power BI. El archivo en Excel contiene campos formulados que, con base en los criterios parametrizados, calculan automáticamente los datos a partir de la información registrada del reporte ISOLUCIÓN. 
Por último, se ejecuta un flujo a través de Power Automate el cual permite realizar el envío masivo de correos (alertas tempranas) a los responsables correspondientes a cada una de las actividades abiertas en el SIG. Las actividades o acciones que se encuentran asignadas a personas que ya no se encuentran vinculadas al INM, se evidencia en el informe Power BI para consulta de los enlaces de calidad.
Periodicidad: Trimestral
Evidencia: Correo electrónico e informe Power BI
Desviaciones/Observaciones: En caso de que los datos del archivo de excel no concuerden con el aplicativo Isolución, es necesario validar la información que se encuentra en el aplicativo ISOLUCIÓN y, de ser necesario, ajustar el archivo Excel o flujo de Power Automate en donde se esté presentando la inconsistencia.
Documentado: E-02-P-003 ACCIONES CORRECTIVAS Y DE MEJORA</t>
  </si>
  <si>
    <t xml:space="preserve">Incluir la actvidad en el flujograma del numeral 7 del procedimiento E-02-P-003 ACCIONES CORRECTIVAS Y DE MEJORA inlcuyendo este control. </t>
  </si>
  <si>
    <t xml:space="preserve">Control 3: Reasignar las acciones de mejora a un nuevo responsable. 
Propósito: En los casos de retiro o cambios internos de funcionarios y contratistas del INM, que tengan acciones de mejora abiertas y pendientes de gestión, hay que asegurar que estas acciones tengan asignado en Isolución, un nuevo responsable para poder gestionarlas. 
Responsable: Profesional de la OAP / líder de proceso o a quien designe.
¿Cómo se hace el control?: Una vez que el profesional del GIT del SIG del INM ha firmado la sección de ADMINISTRACIÓN DEL SISTEMA INTEGRADO DE GESTIÓN de los formatos A-07-F-047 VERIFICACIÓN ENTREGABLES CONTRATISTAS y A-04-F-014 VERIFICACIÓN ENTREGABLES, el líder de proceso, envía un caso a través del aplicativo GLPI, solicitando reasignar responsable para las acciones de mejora abiertas. La asignación del caso es necesario que se realice a los profesionales del proceso de administración del SIG del INM.  
Una vez recibido el caso desde el aplicativo, el profesional del GIT del SIG, reasigna desde Isolución, un nuevo responsable para la acción de mejora en estado abierta. 
Periodicidad: Cada vez que se retira un funcionario o contratista del INM, o cuando hay cambios de personal internamente en los laboratorios o en los procesos del instituto. 
Evidencia: Registro de los formatos A-07-F-047 VERIFICACIÓN ENTREGABLES CONTRATISTAS y A-04-F-014 VERIFICACIÓN ENTREGABLES / Caso de GLPI. 
Desviaciones/Observaciones: En caso de que los líderes de proceso no asignen el nuevo responsable del tratamiento de la acción abierta en Isolución, se debe mantener el caso abierto en GLPI y realizar el seguimiento correspondiente hasta contar con la información del nuevo responsable.
Cuando el cambio de personal se realice sin la firma de los formatos establecidos, el proceso deberá informar a los profesionales del SIG del INM el nombre de la persona designada como nueva responsable.
Documentado: Documentos A-04-P-006 DESVINCULACIÓN LABORAL y A-07-I-001 SUPERVISIÓN DE CONTRATOS Y/O CONVENIOS. </t>
  </si>
  <si>
    <t>Incluir la actividad en el procedimiento E-02-P-003 ACCIONES CORRECTIVAS Y DE MEJORA y en el instructivo E-02-I-005 Administración Isolución</t>
  </si>
  <si>
    <t>Documento de gestión del aplicativo Isolución o procedimiento E-02-P-003 ACCIONES CORRECTIVAS Y DE MEJORA</t>
  </si>
  <si>
    <t xml:space="preserve">Control 4:  Informar el avance de cumplimiento sobre la gestión de las acciones.
Propósito: Definir recursos o las acciones para facilitar o agilizar el cierre de hallazgos críticos
Responsable: Profesional de la OAP
¿Cómo se hace el control?: Presenta la información a los integrantes del CIGD y del CICCI trimestralmente sobre el estado general de avance de los planes para la toma de decisiones.
Enfatiza en el número de planes cerrados durante el periodo.
Periodicidad: Trimestral
Evidencia: Presentación de la información derivada del seguimiento trimestral.
Acta CIGD/ Acta CICCI
Desviaciones/Observaciones: Evalúa el estado de las acciones vencidas (acciones abiertas fuera de tiempo).
El CIGD, define actividades específicas para asegurar el cumplimiento de las acciones abiertas que están próximas a vencer.
Documentado: E-02-P-003 ACCIONES CORRECTIVAS Y DE MEJORA </t>
  </si>
  <si>
    <t>E02-R3</t>
  </si>
  <si>
    <t>Posibilidad de afectación reputacional dada la inadecuada identificación de las causas raíces para el cierre definitivo de hallazgos por realizar un análisis superficial en la identificación de acciones sobre los hallazgos debido a la participación limitada de los responsables de los procesos en la identificación de causas y acciones contundentes para solucionar los inconvenientes.</t>
  </si>
  <si>
    <t>Realizar un análisis superficial en la identificación de acciones sobre los hallazgos</t>
  </si>
  <si>
    <t>1. Participación limitada de los responsables de los procesos (subdirectores, jefes, secretario) en la identificación de causas 
2. Definición de acciones contundentes para solucionar inconvenientes</t>
  </si>
  <si>
    <t>Mayor</t>
  </si>
  <si>
    <t>El responsable del área revisa uno a uno los planes de mejoramiento (análisis de causas, acciones formuladas, tiempos establecidos y entregables) al interior área a través de mesas de trabajo internas con el personal involucrado en dichos planes de mejora.</t>
  </si>
  <si>
    <t>El equipo de trabajo relacionado con el hallazgo analiza la causa raíz y análisis de impacto (cuando son no conformidades), a través de mesas de trabajo internas con el personal involucrado en dichos planes de mejora.</t>
  </si>
  <si>
    <t>E02-R4</t>
  </si>
  <si>
    <t>Posibilidad de afectación reputacional dado el incumplimiento de compromisos y objetivos de los procesos por incumplir con los lineamientos definidos en los documentos transversales establecidos en las áreas, debido a la falta de participación en la elaboración o actualización de estos documentos de las personas involucradas en el proceso pero que no pertenecen al área responsable de la gestión del mismo y a la falta de socialización de actualizaciones a los documentos transversales entre los involucrados en el desarrollo de las actividades del proceso.</t>
  </si>
  <si>
    <t>Incumplimiento de los lineamientos definidos en los documentos transversales establecidos por las áreas.</t>
  </si>
  <si>
    <t>1. Falta de participación en la elaboración o actualización de estos documentos, por parte de las personas involucradas en el proceso pero que no pertenecen al área responsable de la gestión del mismo.
2. Falta de socialización de actualizaciones a los documentos transversales entre los involucrados en el desarrollo de las actividades del proceso</t>
  </si>
  <si>
    <t>El responsable del proceso de que elabora o actualiza documentos revisa la adecuación del documento antes de su aprobación, a través de la validación del contenido una vez haya finalizado este proceso de elaboración o actualización del documento, teniendo en cuenta la matriz de responsabilidades del procedimiento E-02-P-001 Control de documentos.</t>
  </si>
  <si>
    <t>EL responsable del proceso de que elabora o actualiza documentos socializa las actualizaciones o nuevas versiones de los documentos al personal que tiene afectación directa sobre las actividades que en ese documento se describen, a través de la creación de mesas de trabajo o agendamiento sobre el calendario de Google. Registro: Evidencia de asistencia y teniendo en cuenta el procedimiento E-02-P-001 Control de documentos.</t>
  </si>
  <si>
    <t>El responsable de documentar el plan de mejoramiento para el proceso convoca a mesas de trabajo a los distintos procesos involucrados en una actividad definiendo los roles, responsables y actividades a desarrollar, mediante las citaciones desde Google calendario.</t>
  </si>
  <si>
    <t>E02-R5</t>
  </si>
  <si>
    <t>Posibilidad de afectación reputacional por proyectos implementados inconclusos, generados por la Implementación deficiente de actividades de Gestión del Cambio debido a la no identificación o identificación deficiente de los impactos que podría generar la implementación de cambios en el instituto, en aspectos como el Sistema de Gestión, el presupuesto, los colaboradores, los procesos y los servicios, entre otros, o por la falta de seguimiento o seguimientos inadecuados en la implementación de actividades que generan cambios en el Instituto</t>
  </si>
  <si>
    <t>Implementación deficiente de actividades de Gestión del Cambio</t>
  </si>
  <si>
    <t>Falta de claridad en el análisis de impactos que generan cambios
Falta de seguimiento o Seguimiento deficiente en la implementación de actividades</t>
  </si>
  <si>
    <t>El Responsable del proceso que propone el cambio (Subdirector, Jefe o Secretario General) revisa el impacto que tendría para su proceso la implementación del cambio a través del formato E-02-F- 042 de Solicitud del Cambio y lo aprueba o desaprueba según necesidades del área (Formato de Solicitud del cambio cargado en Isolución)</t>
  </si>
  <si>
    <t>Aceptar</t>
  </si>
  <si>
    <t xml:space="preserve">Cambio de alto impacto: El Responsable del proceso que propone el cambio (Subdirector, Jefe o Secretario General) presenta resultados de avance trimestral en CIGD (Registro: Acta CIGD / Avance de actividades Isolución)
Cambio de mediano impacto: El Responsable del proceso de Administración del SIG presenta resultados de avance trimestral en CIGD (Registro: Acta CIGD / Avance de actividades Isolución)
Cambio de bajo impacto: El Responsable del proceso que propone el cambio (Subdirector, Jefe o Secretario General) hace seguimiento al estado y cierre de los planes de trabajo para implementar el cambio (Avance de actividades Isolución) </t>
  </si>
  <si>
    <t>E02-R6</t>
  </si>
  <si>
    <t>Posibilidad de afectación reputacional por pérdida de la oportunidad de identificación de situaciones claves para el mejoramiento de los procesos generados por la deficiente descripción de hallazgos de auditoría, debido a Inadecuada selección de auditores y/o expertos técnicos que realizan o acompañan la realización de auditorías de Gestión
y por la falta de revisión de hallazgos de auditoría previa a la entrega del informe final de auditoría</t>
  </si>
  <si>
    <t>Descripción deficiente de hallazgos de auditoría</t>
  </si>
  <si>
    <t>Selección inadecuada de auditores internos o revisores por pares
Falta de control sobre los resultados de los hallazgos descritos en el informe final de auditoría</t>
  </si>
  <si>
    <t>El Profesional del proceso de Administración de SIG valida las competencias del personal disponible para realizar las auditorías (Revisor por Pares o auditor interno), de manera que se escojan las personas que cumplan las competencias requeridas para la realización de las auditorías, para lo cual solicita al auditor soportes (hoja de vida) de su experiencia como auditor, (Registro: formato E-02-F-035 Matriz de Auditores)</t>
  </si>
  <si>
    <t>El Profesional del proceso de Administración de SIG y/o el Apoyo de Calidad designado, analiza y valida el Informe Preliminar o registro de hallazgos de Auditoría, antes de efectuar la reunión de cierre, en caso de identificar inconsistencias o errores los comunica al equipo auditor para su análisis y discusión (Registro: Correo electrónico)</t>
  </si>
  <si>
    <t>E02-R7</t>
  </si>
  <si>
    <t>Posibilidad de afectación reputacional por pérdida de credibilidad por parte de evaluadores internacionales en la consistencia del SIG del INM, generada por la necesidad de evitar que se evidencien errores críticos dentro de los procesos, debido a la solicitud de no incluir hallazgos críticos por parte de personas auditadas y por la inadecuada selección de auditores y/o expertos técnicos que realizan o acompañan la realización de auditorías de Gestión</t>
  </si>
  <si>
    <t xml:space="preserve">
Necesidad de evitar que se evidencien errores críticos dentro de los procesos</t>
  </si>
  <si>
    <t>Solicitud de los auditados de no evidenciar situaciones de preocupación del proceso
Selección inadecuada de auditores internos o revisores por pares</t>
  </si>
  <si>
    <t>Imparcialidad</t>
  </si>
  <si>
    <t>Los apoyos de Calidad y en ocasiones el Profesional del proceso de Administración de SIG acompañan la realización de las auditorías para tener conocimiento de los hallazgos levantados y asegurar que se incluyen dentro del informe final de auditoría</t>
  </si>
  <si>
    <t>E02-R8</t>
  </si>
  <si>
    <t>Posibilidad de  afectación reputacional por ocurrencia de trabajos no conformes que no aseguran que se vuelva a presentar la situación presentada, generada por falta de análisis profundo de las situaciones que generaron los hallazgos, debido a la aplicación de acciones débiles o poco eficaces o a la falta de seguimiento de la puesta en operación de las acciones propuestas</t>
  </si>
  <si>
    <t xml:space="preserve">
Falta de análisis profundo de las situaciones que generan Trabajos No Conformes</t>
  </si>
  <si>
    <t>Aplicación de acciones débiles o poco eficaces 
Falta de seguimiento de la puesta en operación de las acciones propuestas</t>
  </si>
  <si>
    <t>El Coordinador del área o responsable del laboratorio efectúa seguimiento y apoya la realización de análisis para la generación de Trabajos No Conformes y lo aprueba o desaprueba según resultados de los análisis realizados (Registro: E-02-016 Ficha de trabajo no conforme)</t>
  </si>
  <si>
    <t>El Profesional del proceso de Administración de SIG realiza evaluación, monitoreo y cierre del TNC, a través del registro de la información en el aplicativo Isolución (Registro: información cargada en Isolución relacionada con el TNC)</t>
  </si>
  <si>
    <t>E02-R9</t>
  </si>
  <si>
    <t>Posibilidad de afectación reputacional por fuga de Información valiosa para el INM, y que puede llegar a tomarse como oficial estando desactualizada o con posibilidad de ser modificada, debido a la entrega de información técnica a entidades externas o proveedores externos de servicios que para la realización de su actividad requieran de la información técnica del INM o cuando se realizan enmendaduras (cambios) a los datos que ya se haya incluido en un registro electrónico</t>
  </si>
  <si>
    <t>Fuga de Información sensible valiosa para el INM, y que puede llegar a tomarse como oficial estando desactualizada o con posibilidad de ser modificada</t>
  </si>
  <si>
    <t>Entrega de información técnica a entidades externas o proveedores externos de servicios que para la realización de su actividad requieren de la información técnica del INM o cuando se realizan enmendaduras (cambios )a los datos que ya se han incluido en un registro electrónico</t>
  </si>
  <si>
    <t>Confidencialidad</t>
  </si>
  <si>
    <t>Control: Firma por parte de los terceros de un compromiso de confidencialidad e imparcialidad.
Periodicidad: Cada vez que se realiza una auditoría o evaluación por parte de un externo.
Propósito: Cláusula por la cual se deben abstener de utilizar o divulgar la información recibida.
Cómo: Cuando un Auditor o evaluador obtiene información del Instituto, realiza la firma de compromiso de confidencialidad e imparcialidad.
Responsable: Profesional de la Oficina Asesora de Planeación
Desviaciones/Observaciones: 1. Si se presenta inconvenientes en la forma del compromiso, se procede a buscar un nuevo auditor/ evaluador . 2. Si no se presentan inconvenientes, se obtiene la firma como compromiso o acuerdo ejecutable .
Evidencia: Compromiso de auditores
Documento: Procedimiento de Auditorias Internas</t>
  </si>
  <si>
    <t>Control: Enmendaduras a los datos.
Periodicidad: Cada vez que se haga una enmendadura a los datos registrados 
Propósito: Garantizar que los registros se controlan incluyendo sus modificaciones.
Cómo: Mediante la hoja de control de cambios
Responsable: Responsable de los procesos (Coordinadores o Responsables de área, colaboradores)
Desviaciones/Observaciones: En los casos en que se detecte que se incluyen modificaciones, el responsable del Laboratorio debe revisar que la hoja de enmendaduras se diligencie con los cambios respectivos. 
Evidencia: Hoja de control de registros
Documento: Procedimiento Control de Registros</t>
  </si>
  <si>
    <t>E02-R10</t>
  </si>
  <si>
    <t xml:space="preserve">Posibilidad de afectación reputacional por insatisfacción de clientes y pérdida de la confidencialidad e integridad de la información debido al desconocimiento del SIG . </t>
  </si>
  <si>
    <t>Inadecuada administración del control de registros</t>
  </si>
  <si>
    <t>Control: Socialización de documentos. 
Periodicidad: Cada vez que se actualice un documento 
Propósito: Garantizar el conocimiento de los documentos vigentes de los procesos al personal que los ejecuta. 
Cómo: 
Responsable: Responsable de los procesos (Coordinadores o Responsables de área) 
Desviaciones/Observaciones: 1. Si se presenta inasistencia de los colaboradores a las capacitaciones, el superior inmediato garantiza la entrega de la información a dichos colaboradores. 2. Si se presentan fallas técnicas que impidan la realización de la capacitación, ésta se debe reprogramar. 
Evidencia: Lista de asistencia de socialización de documentos del SIG o pantallazo de asistencia en caso de ser virtual 
Documento: Procedimiento Control de Documentos.</t>
  </si>
  <si>
    <t>E02-R11</t>
  </si>
  <si>
    <t>Posibilidad de afectación reputacional por incumplimiento de requisito del Sistema de Gestión e inadecuada toma de decisiones por debilidades en la comunicación con los procesos y la desorganización en la entrega de información dentro del tiempo establecido requerida por todos los procesos para la revisión por la dirección .</t>
  </si>
  <si>
    <t>Inoportunidad en la entrega de la información para la revisión por la dirección</t>
  </si>
  <si>
    <t>Debilidad en la comunicación con los procesos</t>
  </si>
  <si>
    <t>Gerencial</t>
  </si>
  <si>
    <t xml:space="preserve">     El riesgo afecta la imagen de alguna área de la organización</t>
  </si>
  <si>
    <t>Control: Reuniones previas de trabajo con los apoyos de calidad. 
Periodicidad: Cada vez que se realice la revisión por la dirección 
Propósito: Garantizar que se comunica a todos los involucrados de los procesos, la fecha de solicitud de la información y el periodo evaluado, y la información a remitir. 
Cómo: AJUSTAR 
Responsable: Profesional de la Oficina Asesora de Planeación 
Desviaciones/Observaciones: 1. Si no se allega información dentro del plazo previsto se reitera la solicitud y se habla con el responsable del proceso. 
Evidencia: Correo electrónico con la solicitud. 
Documento: Procedimiento revisión por la dirección.</t>
  </si>
  <si>
    <t>Control: Revisión de la información entregada por las áreas 
Periodicidad: Cada vez que se realice la revisión por la dirección 
Propósito: Verificar la información de entrada recolectada 
Cómo: AJUSTAR 
Responsable: Profesional de la Oficina Asesora de Planeación 
Desviaciones/Observaciones: 1.Analiza la información. Si identifica información incompleta o poco clara, solicita aclaraciones a los responsables. 
Evidencia: E-02-F-20 Entradas de revisión por la dirección 
Documento: Procedimiento revisión por la dirección.</t>
  </si>
  <si>
    <t>E02-R12</t>
  </si>
  <si>
    <t>Posibilidad de afectación reputacional por la pérdida de las Certificaciones obtenidas anteriormente (5 años) debido al incumplimiento de los requisitos y a los tiempos establecidos cuando requiere presentarse el SIG al QSTF por cierre de hallazgos o información inadecuada o incompleta</t>
  </si>
  <si>
    <t>Información inadecuada o incompleta</t>
  </si>
  <si>
    <t>Cierre de hallazgos</t>
  </si>
  <si>
    <t xml:space="preserve">     El riesgo afecta la imagen de la entidad a nivel nacional, con efecto publicitarios sostenible a nivel país</t>
  </si>
  <si>
    <t>Control: Consolidar el seguimiento de las acciones 
Periodicidad: trimestralmente. 
Propósito: Asegurar cumplimiento de la acción formulada y verificar la 
coherencia de las evidencias de las acciones cerradas frente a las causas y hallazgos 
Cómo: Recibe la información y consolida los seguimientos realizados por los responsables de los procesos. Valida la evidencia en cumplimento de las acciones. 
Responsable: Profesional de la Oficina Asesora de Planeación 
Desviaciones/Observaciones: Si la evidencia da cumplimiento al cierre de la acción lo confirma al colaborador que remitió el avance. Si la evidencia no da cumplimiento al cierre de la acción lo devuelve al colaborador que remitió el avance. 
Evidencia: Consolida los reportes de cada uno de los procesos E-02-F-015 Acciones Correctivas y de Mejora, diligenciado con comentarios o avances (planes antes del 2020) y genera informe de ISOLUCION con el avance de las acciones. 
Documento: Procedimiento E-02-P-003 Acciones correctivas y de mejora.</t>
  </si>
  <si>
    <t>Automático</t>
  </si>
  <si>
    <t>Catastrófico</t>
  </si>
  <si>
    <t>Control: Lineamientos para presentación y publicación de CMC. 
Periodicidad: Cada vez que se programe la presentación de CMC 
Propósito: Verificar los documentos e información recolectada para QSTF 
Cómo: 
Responsable: Profesional de la Oficina Asesora de Planeación 
Desviaciones/Observaciones: 1. Si la evidencia da cumplimiento a los registros y formularios del QSTF envía la documentación al secretario del QSTF. 2. Si la evidencia no da cumplimiento se informa a la Alta Dirección la decisión de no presentar sistema integrado de gestión. 
Evidencia: QSTF 3 
Documento: Lineamientos para presentación y publicación de CMC.</t>
  </si>
  <si>
    <t>E03-R1</t>
  </si>
  <si>
    <t>(E-03)
Comunicaciones</t>
  </si>
  <si>
    <t xml:space="preserve">Posibilidad de afectación reputacional por falta de posicionamiento de la imagen del INM,  generado por debilidades en la definición, ejecución y seguimiento de la estrategia de comunicaciones. </t>
  </si>
  <si>
    <t>Falta de posicionamiento de la imagen del INM</t>
  </si>
  <si>
    <t>Debilidades en la definición, ejecución y seguimiento de la estrategia de comunicaciones</t>
  </si>
  <si>
    <t>El Coordinador del Grupo de Comunicaciones y Relación con el Ciudadano anualmente define el Plan Estratégico de Comunicaciones, el cual contiene las actividades, responsables y fechas límite para el desarrollo de las acciones de comunicación definidas para el INM. 
registro: Plan estratégico de comunicaciones.</t>
  </si>
  <si>
    <t>E03-R2</t>
  </si>
  <si>
    <t>Posibilidad de pérdida reputacional por demanda de los grupos de valor debido a la publicación de información clasificada.</t>
  </si>
  <si>
    <t>Demanda de los grupos de valor</t>
  </si>
  <si>
    <t>Publicación de información clasificada</t>
  </si>
  <si>
    <t>El profesional o colaborador del Grupo de Comunicaciones y Relación con el Ciudadano encargado de publicar información en cada uno de los medios valida con el área que solicita la publicación del contenido informativo que este no incluya información clasificada.</t>
  </si>
  <si>
    <t>E03-R3</t>
  </si>
  <si>
    <t>Posibilidad de pérdida reputacional por denuncias o reclamaciones masivas debido a la falta de claridad o errores en el contenido de las comunicaciones que pueden generar múltiples interpretaciones</t>
  </si>
  <si>
    <t>Denuncias o reclamaciones masivas</t>
  </si>
  <si>
    <t>Falta de claridad o errores en el contenido de las comunicaciones del INM que pueden generar múltiples interpretaciones</t>
  </si>
  <si>
    <t>El profesional o colaborador del Grupo de Comunicaciones y Relación con el Ciudadano, encargado de generar los contenidos, valida la información a difundir con los responsables de las áreas, para garantizar la utilización de lenguaje claro que corresponda al objetivo de la comunicación.</t>
  </si>
  <si>
    <t>E03-R4</t>
  </si>
  <si>
    <t>Posibilidad de pérdida reputacional por quejas de grupos de valor debido a pérdida de integridad de la información cuando personal no autorizado realiza publicaciones en las redes o modifica contenido.</t>
  </si>
  <si>
    <t xml:space="preserve"> Quejas de grupos de valor </t>
  </si>
  <si>
    <t>Pérdida de integridad de la información cuando personal no autorizado realiza publicaciones en las redes o modifica contenido</t>
  </si>
  <si>
    <t>Seguridad digital</t>
  </si>
  <si>
    <t>El profesional encargado de la administración de las redes sociales verifica la aplicación de las políticas de seguridad digital institucionales para evitar incidentes de seguridad de la información.</t>
  </si>
  <si>
    <t>E03-R5</t>
  </si>
  <si>
    <t>Posibilidad de pérdida reputacional por quejas de los grupos de valor internos y externos debido a publicación inoportuna de información sobre la gestión de la entidad, imposibilidad de acceso a la red social (pérdida de claves, fallas tecnológicas fuera de control de la SSM)</t>
  </si>
  <si>
    <t>Quejas de los grupos de valor internos y externos</t>
  </si>
  <si>
    <t>Publicación inoportuna de información sobre la gestión de la entidad, imposibilidad de acceso a la red social (pérdida de claves, fallas tecnológicas fuera de control de la SSM)</t>
  </si>
  <si>
    <t>El profesional o colaborador del Grupo de Comunicaciones y Relación con el Ciudadano encargado de la administración de las redes sociales revisa la seguridad de la red y frente al uso de redes inseguras externas da prelación al uso de datos personales con el fin de mantener la integridad de la información y publicar de manera oportuna los mensajes que dan cuenta de la gestión institucional.</t>
  </si>
  <si>
    <t>E03-R6</t>
  </si>
  <si>
    <t>Posibilidad de pérdida reputacional por quejas de los usuarios y los grupos de valor debido a violación de políticas de uso de las redes sociales e institucionales (el uso inadecuado de las redes sociales institucionales, opiniones personales, derechos de autor, correos masivos, lineamientos)</t>
  </si>
  <si>
    <t>Quejas de los usuarios y los grupos de valor</t>
  </si>
  <si>
    <t>Violación de políticas de uso de las redes sociales e institucionales (el uso inadecuado de las redes sociales institucionales, opiniones personales, derechos de autor, correos masivos, lineamientos)</t>
  </si>
  <si>
    <t>El profesional encargado de la administración de las redes sociales institucionales verifica el adecuado cumplimiento de las políticas de uso de las redes sociales para no incurrir en conductas inadecuadas que pongan en riesgo la disponibilidad de las mismas.</t>
  </si>
  <si>
    <t>E03-R7</t>
  </si>
  <si>
    <t xml:space="preserve">Posibilidad de pérdida reputacional por quejas masivas de los grupos de valor o de interés debido a la información no veraz y/o desactualizada en la sección de Transparencia y Acceso a la Información Pública del INM. </t>
  </si>
  <si>
    <t>Quejas masivas de los grupos de valor o de interés</t>
  </si>
  <si>
    <t>Información no veraz y/o desactualizada en nuestra página web y redes sociales</t>
  </si>
  <si>
    <t>Cumplimiento</t>
  </si>
  <si>
    <t>Los profesionales encargados de generar los contenidos informativos a difundir en la Sección de Transparencia del INM verifican con las áreas responsables el contenido de la sección.</t>
  </si>
  <si>
    <t>E04-R1</t>
  </si>
  <si>
    <t>(E-04)
Servicio al Ciudadano</t>
  </si>
  <si>
    <t>Posibilidad de afectación reputacional, por una inadecuada, insuficiente o inoportuna atención al ciudadano brindada por las áreas del INM , debido a la poca interiorización de la cultura de servicio al ciudadano</t>
  </si>
  <si>
    <t>Inadecuada, insuficiente o inoportuna atención al ciudadano brindada por las áreas del INM.</t>
  </si>
  <si>
    <t>Poca interiorización de la cultura de servicio al ciudadano</t>
  </si>
  <si>
    <t>El Coordinador de Comunicaciones y Relación con el Ciudadano mínimo anualmente define o revisa los lineamientos para el servicio al ciudadano definidos en el Modelo de Servicio al Ciudadano, Protocolos de Servicio al Ciudadano y Declaración de Trato Digno.</t>
  </si>
  <si>
    <t>E04-R2</t>
  </si>
  <si>
    <t xml:space="preserve">Posibilidad de afectación reputacional por resultados de la evaluación de la satisfacción del usuario no reflejan de manera suficiente o veraz la realidad frente a la percepción de los servicios ofrecidos por el INM, debido a errores metodológicos en el diseño, actualización o aplicación de los instrumentos de evaluación de la satisfacción del usuario.  </t>
  </si>
  <si>
    <t>Resultados de la evaluación de la satisfacción del usuario no reflejan de manera suficiente o veraz la realidad frente a la percepción de los servicios ofrecidos por el INM.</t>
  </si>
  <si>
    <t xml:space="preserve">Errores metodológicos en el diseño, actualización o aplicación de los instrumentos de evaluación de la satisfacción del usuario.  </t>
  </si>
  <si>
    <t>El Coordinador de Comunicaciones y Relación con el Ciudadano cada que sea requerido, realiza la revisión y concertación de los instrumentos de evaluación de la satisfacción con las áreas responsables de los servicios del INM, con el objetivo de realizar los ajustes que sean pertinentes.</t>
  </si>
  <si>
    <t>El Coordinador de Comunicaciones y Relación con el Ciudadano de manera semestral, revisa el informe de resultados de la evaluación de la satisfacción, antes de su envío a las áreas.</t>
  </si>
  <si>
    <t>E04-R3</t>
  </si>
  <si>
    <t>Posible afectación reputacional por no realizar la oportuna y eficaz atención a las peticiones, quejas, reclamos, sugerencias o denuncias recibidas, dificultando la solución de las mismas dentro de los términos legales vigentes, debido a  desconocimiento y/o falta de interiorización de los tiempos para la respuesta a las PQRSD por parte de los responsables de las áreas del INM</t>
  </si>
  <si>
    <t>No realizar la oportuna y eficaz atención a las peticiones, quejas, reclamos, sugerencias o denuncias recibidas, dificultando la solución de las mismas dentro de los términos legales vigentes.</t>
  </si>
  <si>
    <t>Desconocimiento y/o falta de interiorización de los tiempos para la respuesta a las PQRSD por parte de los responsables de las áreas del INM</t>
  </si>
  <si>
    <t>Semanalmente el profesional responsable de servicio al ciudadano notifica del informe de tiempos al responsable de la PQRSD, a través del correo electrónico.</t>
  </si>
  <si>
    <t>SI. Por favor diligencie las siguientes dos columnas</t>
  </si>
  <si>
    <t>2. Auditoría interna</t>
  </si>
  <si>
    <t>El responsable del área, revisa diariamente una a una de las PQRSD, si la respuesta es adecuada aprueba la comunicación en el sistema, generando la respuesta automática al peticionario. Si no es adecuada, informa al área responsable para ajustes pertinentes.</t>
  </si>
  <si>
    <t>El Coordinador del Grupo de Comunicaciones y Relación con el Ciudadano de manera trimestral, revisa posteriormente las respuestas realizadas a los peticionarios. Si se detecta que estas no fueron de fondo, suficiente o pertinente, estas observaciones se registran en el informe trimestral de PQRSD en el capítulo de recomendaciones, donde se presentan éstas situaciones. En caso que los reclamos sean relacionados con cuestiones de los laboratorios de la SMF y SMQB ésta es revisada y aprobada por el área de Gestión de Servicios.</t>
  </si>
  <si>
    <t>M01-R1</t>
  </si>
  <si>
    <t>(M-01)
Servicios de Calibración y medición metrológica</t>
  </si>
  <si>
    <t xml:space="preserve">Posibilidad de afectación económica y reputacional por suspensión del servicio de calibración o medición debido a daños en los instrumentos o equipos de medición durante el proceso de transporte dada la inadecuada articulación entre los procesos misionales y de apoyo. </t>
  </si>
  <si>
    <t>Inconvenientes o imprevistos presentados en el proceso de transporte</t>
  </si>
  <si>
    <t>Inconvenientes o imprevistos presentados en el proceso de transporte.
Inadecuada articulación entre los procesos misionales y de apoyo en la definición de requisitos requeridos por parte de la empresa transportadora.</t>
  </si>
  <si>
    <t>Daños Activos Físicos</t>
  </si>
  <si>
    <t>El responsable del laboratorio o a quien designe cada vez que se requiera celebrar el contrato para el transporte nacional de equipos de medición, envía a la coordinación del GGSM a través de correo electrónico, los requisitos o especificaciones que debe cumplir la empresa transportadora para el traslado de equipos o sistemas de medición. Documento: M-01-P-002 PRESTACIÓN DE SERVICIOS DE CALIBRACIÓN O MEDICIÓN EN SITIO y A-05-P-006 INGRESO O RETIRO DE BIENES.</t>
  </si>
  <si>
    <t>El profesional especializado 18 de gestión de servicios metrológicos incluye en la etapa precontractual y de ser necesario en la etapa contractual del proceso de contratación que se celebre con la empresa transportadora, los requisitos a cumplir por parte de empresa contratista para el proceso de transporte y manejo de los equipos de medición.</t>
  </si>
  <si>
    <t>El profesional de secretaria general adquiere las pólizas de seguros que cubran el valor de los equipos transportados en el contrato a celebrar entre el INM y la empresa transportadora. Documento: A-05-P-013 PÓLIZAS</t>
  </si>
  <si>
    <t>M01-R2</t>
  </si>
  <si>
    <t>Afectación económica y reputacional por la insatisfacción por parte de los clientes dada la demora en la prestación del servicio debido falta de personal disponible y competente en los laboratorios, condiciones ambientales del laboratorio fuera de los límites establecidos y el incumplimiento de plazo de reimportación de equipos por la agencia aduanera.</t>
  </si>
  <si>
    <t>Condiciones ambientales del laboratorio fuera de los límites establecidos.
Incumplimiento de plazo de reimportación de equipos por la agencia aduanera.</t>
  </si>
  <si>
    <t xml:space="preserve">Falta de personal disponible y competente en los laboratorios </t>
  </si>
  <si>
    <t>El profesional del grupo de gestión de servicios metrológicos informa al cliente cuando haya demoras en la prestación del servicio debido a daños en el sistema de climatización central a través de correo electrónico. Documento: A-08-P-001 Solicitudes, ofertas y contratos</t>
  </si>
  <si>
    <t>Para la fecha de evaluación de este riesgo, no se identifica una acción para abordar el riesgo toda vez que en el primer trimestre se actualizó el procedimiento A-04-P-002 MANTENIMIENTO Y DESARROLLO DE LAS COMPETENCIAS DEL PERSONAL TÉCNICO y el mismo fue socializado al personal respectivo.</t>
  </si>
  <si>
    <t>Certificados de calibración o medición confiables y cumpliendo los requisitos establecidos con el cliente, el SIG, el CIPM-MRA y otros requisitos aplicables, que permitan determinar el nivel de calidad técnica de los resultados de medición emitidos, de acuerdo con la cantidad de Trabajos no Conformes identificados interna y externamente.</t>
  </si>
  <si>
    <t>El personal del laboratorio, suspende la actividad de calibración o medición cuando las condiciones ambientales no  cumplen los requisitos establecidos por el laboratorio e informa al personal de climatización del INM la falla o desviación en las condiciones ambientales para su ajuste, a través de correo y del registro del trabajo no conforme.E-02-F-016 e ISOLUCION.
Documento: M-01-P-001 Servicios de calibración en el INM</t>
  </si>
  <si>
    <t>Control 3: Determinar el personal de backup para revisión de los certificados de calibración e informes de medición. 
Responsable: El Subdirector, Coordinadores y Responsables de los Laboratorios.
Propósito: Mantener personal suplente para las actividades del laboratorio para garantizar la continuidad en la prestación del servicio
Cómo se realiza la actividad: El Subdirector, Coordinadores y Responsables de los Laboratorios de la SMF, determinan el personal de backup para revisión de los certificados de calibración e informes de medición a través del registro del plan y evaluación mantenimiento y desarrollo de competencias del personal técnico A-04-F-009 y el análisis de brechas del formato A-04-F-008, a su vez, el personal del laboratorio se reune e identifica las actividades y personas que requieren suplencia de acuerdo a la capacidad del laboratorio.
Periodicidad: Anualmente.
Documento: A-04-P-002 Mantenimiento y desarrollo de las competencias del personal técnico.
Registro: A-04-F-009  Plan y evaluación mantenimiento y desarrollo de competencias del personal técnico y A-04-F-008 Descripción de competencias.
Qué pasa con las observaciones o desviaciones: Evaluar la necesidad de vincular personal adicional o revisar la competencia general para realizar la suplencia de ciertas actividades.</t>
  </si>
  <si>
    <t>El personal del laboratorio, informa inmediatamente a mesa de servicio y personal de OIDT correspondiente los problemas presentados con el sistema de información y que impiden el ingreso del IBC o la correcta emisión del certificado de calibración o informe de medición, a través de correo y del registro del trabajo no conforme E-02-F-016 en ISOLUCION.
Documento: M-01-P-001 Servicios de calibración en el INM</t>
  </si>
  <si>
    <t>El Subdirector, Coordinadores y personal de los Laboratorios de la SMF, determinan un plan de contingencia en caso de que por razones fuera del control del INM (Pandemia, Protestas, Terremotos, etc.), no sea posible el ingreso a los laboratorios del INM para la realización de las calibraciones o mediciones de servicios programados, a través del plan de gestión del cambio E-02-F-042 (si aplica) y plan de mejoramiento en ISOLUCION. Documento: E-02-P-003 Acciones correctivas y de mejora y E-02-D-008 Gestión del cambio</t>
  </si>
  <si>
    <t>M01-R3</t>
  </si>
  <si>
    <t>Afectación económica y reputacional por reclamos ante empresas aseguradoras por parte del cliente o del INM debido daño del instrumento bajo calibración o daño del instrumento patrón durante la actividad de calibración o medición.</t>
  </si>
  <si>
    <t>Recibo de Instrumento con daño oculto
Falta de información sobre operación del instrumento
Manipulación inadecuada del ítem de calibración por falta de experticia del personal técnico.
Ausencia de instrucciones para la manipulación de los IBC.</t>
  </si>
  <si>
    <t>Recibo de Instrumento con daño oculto
Ausencia de instrucciones para la manipulación de los IBC.</t>
  </si>
  <si>
    <t>El personal técnico de los laboratorios realiza una inspección minuciosa del Ítem bajo calibración a través de los formatos M-01-F-006 TRASLADO DEL ÍTEM DE CALIBRACIÓN O MEDICIÓN y M-01-F-007 REGISTRO DE LA PRESTACIÓN DE SERVICIO EN SITIO.</t>
  </si>
  <si>
    <t>Leve</t>
  </si>
  <si>
    <t>El personal técnico de los laboratorios vía correo electrónico, solicita cuando aplique, al responsable de recepción y entrega de equipos del grupo de GSM, comunicación con el cliente para pedir información adicional requerida para la operación del ítem bajo calibración.</t>
  </si>
  <si>
    <t>Control 3: Definir, ejecutar o revisar los planes de entrenamientos para el personal de los Laboratorios.
Responsable: Responsable del Laboratorio
Propósito: Desarrollar y mantener la competencia del personal en la manipulación de IBC y Patrones, con el fin de mitigar el riesgo de daño en equipamiento.
Cómo se realiza la actividad: El responsable del laboratorio o a quien designe, define actividades en el plan y evaluación del desarrollo y mantenimiento de las competencias del personal técnico con el fin de asegurar la competencia de éste. 
Evidencia: Registro del A-04-F-009 PLAN Y EVALUACIÓN MANTENIMIENTO Y DESARROLLO COMPETENCIAS DEL PERSONAL TÉCNICO.
Periodicidad: Anualmente
Documento: A-04-P-002 MANTENIMIENTO Y DESARROLLO DE LAS COMPETENCIAS DEL PERSONAL TÉCNICO
Qué pasa con las observaciones o desviaciones: Reprogramar actividades de entrenamiento. En caso de materialización del riesgo se debe generar un TNC</t>
  </si>
  <si>
    <t>M01-R4</t>
  </si>
  <si>
    <t>Afectación económica y reputacional por investigación disciplinaria debido a que el certificado de calibración es firmado por una persona no autorizada para realizar la labor o porque la persona que revisa el certificado de calibración no fue entrenado, evaluado ni autorizado para realizar la actividad.</t>
  </si>
  <si>
    <t>El laboratorio no cuenta con el personal suficiente para la revisión del certificado</t>
  </si>
  <si>
    <t>La persona que revisa el certificado de calibración no fue entrenado, evaluado ni autorizado para realizar la actividad</t>
  </si>
  <si>
    <t>Control 1: Verificar que el personal autorizado mantenga las competencias requeridas para ejecutar las actividades técnicas asignadas. 
Responsable: El Subdirector, Coordinadores y Responsables de los Laboratorios.
Propósito: Mantener y mejorar personal para las actividades del laboratorio para garantizar la continuidad en la prestación del servicio
Cómo se realiza la actividad:  El Subdirector, Coordinadores y Responsables de los Laboratorios,  verifican que el personal autorizado mantenga las competencias requeridas para ejecutar las actividades técnicas asignadas. Asi mismo, el personal del laboratorio se reune e identifica las actividades y personas que requieren para la revisión de certificados de acuerdo a la capacidad del laboratorio.
Periodicidad: Anualmente.
Documento: A-04-P-002 Mantenimiento y desarrollo de las competencias del personal técnico.
Registro: A-04-F-009  Plan y evaluación mantenimiento y desarrollo de competencias del personal técnico y A-04-F-008 Descripción de competencias.
Qué pasa con las observaciones o desviaciones: Generar un TNC y suplemento del certificado con la revisión y firma de certificados con la revisión y firma de una persona autorizada para tal fin.
Revisar la necesidad de desarrollar la competencia y autorización de personas adicionales para la revisión de certificados de calibración.</t>
  </si>
  <si>
    <t>Control 2: Verificar la consistencia, coherencia y concordancia entre la información registrada en los formatos A-04-F-008 “Descripción de competencias técnicas requeridas” y A-04-F-009 “Plan de mantenimiento y desarrollo de competencias”
Responsable: Enlace de Calidad o quien se delegue.
Propósito: Garantizar a consistencia, coherencia y concordancia de los registros relacionados con el desarrollo de competencias y las autorizaciones tramitadas.
Cómo se realiza la actividad: Verificar la consistencia, coherencia y concordancia entre la información registrada en los formatos A-04-F-008 “Descripción de competencias técnicas requeridas” y A-04-F-009 “Plan de mantenimiento y desarrollo de competencias”, así como la correspondencia entre las evidencias aportadas y las actividades específicas para las cuales se solicita la autorización, asegurando su suficiencia, pertinencia y trazabilidad.  
Periodicidad: Cada vez que se gestione una autorización.
Qué pasa con las observaciones o desviaciones: En caso de identificar necesidad de cambios en los formatos usados, se retroalimenta y se solicitan las correcciones pertinentes a través de reuniones o correos de revisión. 
Evidencia: Registro de reuniones o correos de revisión y retroalimentación
Documentado:  A-04-P-002 Mantenimiento y desarrollo de las competencias del personal técnico</t>
  </si>
  <si>
    <t>M01-R5</t>
  </si>
  <si>
    <t>Afectación económica y reputacional por reclamaciones o quejas de los usuarios debido a la ocurrencia de un evento adverso durante la prestación del servicio de calibración o medición en sitio por falta de mantenimiento preventivo del IBC en sitio por parte del cliente y por capacitación deficiente del operador del equipo.</t>
  </si>
  <si>
    <t>Falta de preparación de la actividad de calibración en sitio por parte el cliente.</t>
  </si>
  <si>
    <t>Falta de mantenimiento preventivo del IBC en sitio por parte del cliente. 
Capacitación deficiente del operador del equipo</t>
  </si>
  <si>
    <t>El encargado de entrega y recepción de equipos del INM a través de correo electrónico, informa al cliente detalles técnicos y logísticos para la preparación de la actividad de calibración o medición en sitio.
Documento: A-08-P-001 Ofertas, pedidos y contratos y procedimiento M-01-P-002 PRESTACIÓN DE SERVICIOS DE CALIBRACIÓN O MEDICIÓN EN SITIO.</t>
  </si>
  <si>
    <t>El encargado de entrega y recepción de equipos del INM a través de correo electrónico, informa al cliente el estado que debe tener el ítem bajo calibración en sitio, tomando como base los anexos incluidos en el procedimiento A-08-P-001 Revisión de solicitudes, ofertas y contratos.
Documento: A-08-P-001 Ofertas, pedidos y contratos y procedimiento M-01-P-002 PRESTACIÓN DE SERVICIOS DE CALIBRACIÓN O MEDICIÓN EN SITIO.</t>
  </si>
  <si>
    <t>El encargado de entrega y recepción de equipos del INM a través de correo electrónico, informa al cliente sobre el requisito de contar con un operador competente para manipular el IBC durante la prestación del servicio de calibración en sitio (cuando aplique).
Documento: A-08-P-001 Ofertas, pedidos y contratos y procedimiento M-01-P-002 PRESTACIÓN DE SERVICIOS DE CALIBRACIÓN O MEDICIÓN EN SITIO.</t>
  </si>
  <si>
    <t>M01-R6</t>
  </si>
  <si>
    <t>Económico</t>
  </si>
  <si>
    <t xml:space="preserve">Afectación económica por suspensión temporal del servicio en curso por la ausencia inesperada del personal autorizado para prestar el servicio programado o en ejecución debido al incumplimiento de las competencias técnicas requeridas para la prestación de servicios de calibración o medición. </t>
  </si>
  <si>
    <t xml:space="preserve">N.A. </t>
  </si>
  <si>
    <t xml:space="preserve">Incumplimiento de las competencias técnicas requeridas para la prestación de servicios de calibración o medición. </t>
  </si>
  <si>
    <t>El responsable del laboratorio verifica la viabilidad de suspender los servicios debido a la ausencia inesperada del personal competente para su ejecución a través de la solicitud al grupo de GSM de comunicar al cliente la suspensión del servicio (os).
Documento: A-08-P-004 Reprogramación, Suspensión, Cancelación o Reactivación de Productos o Servicios</t>
  </si>
  <si>
    <t>Control 2: Gestionar el desarrollo de competencias del personal técnico. 
Responsable: El Subdirector, Coordinadores y Responsables de los Laboratorios.
Propósito: Mantener personal suplente para las actividades del laboratorio para garantizar la continuidad en la prestación del servicio
Cómo se realiza la actividad: El personal del laboratorio se reune e identifica las actividades y personas que requieren suplencia de acuerdo a la capacidad del laboratorio, diligenciando los formatos A-04-F-009 y el análisis de brechas del formato A-04-F-008 Descripción de competencias. 
Periodicidad: Anualmente.
Documento: A-04-P-002 Mantenimiento y desarrollo de las competencias del personal técnico.
Registro: A-04-F-009  Plan y evaluación mantenimiento y desarrollo de competencias del personal técnico y A-04-F-008 Descripción de competencias.
Qué pasa con las observaciones o desviaciones: evaluar la necesidad de vincular personal adicional o revisar la competencia general para realizar la suplencia de ciertas actividades.</t>
  </si>
  <si>
    <t>M01-R7</t>
  </si>
  <si>
    <t>Afectación económica y reputacional dada la emisión de resultados no confiables por realizar calibraciones fuera de especificaciones debido al desconocimiento de las capacidades de medición del laboratorio.</t>
  </si>
  <si>
    <t>Desconocimiento de las capacidades de medición del laboratorio.</t>
  </si>
  <si>
    <t>El responsable del laboratorio en conjunto con el grupo de GSM, al momento de actualizar la oferta de servicios y de verificar la solicitud del servicios, validan que el laboratorio cumple con todos los requisitos para la prestación del servicio.</t>
  </si>
  <si>
    <t>4. Trabajo no conforme</t>
  </si>
  <si>
    <t>El subdirector de metrología física revisa con los coordinadores de la subdirección a través de la reunión de coordinadores de manera semestral, la viabilidad de continuar con la oferta de servicios en la vigencia revisada.</t>
  </si>
  <si>
    <t>12. Autogestión (puede involucrar mejoras a los procesos). </t>
  </si>
  <si>
    <t>M01-R8</t>
  </si>
  <si>
    <t>Afectación económica y reputacional dada la pérdida de información metrológica de los patrones y sistemas de medición debido a contar con una competencia inadecuada del personal técnico del laboratorio para desarrollar las actividades que influye en los resultados de los laboratorios.</t>
  </si>
  <si>
    <t xml:space="preserve">Definición inadecuada de los perfiles de los profesionales a autorizar.
Definición inadecuada de los programas de mantenimiento y desarrollo de competencias.
Deficiencias en la transferencia del conocimiento por parte del personal competente saliente del INM. </t>
  </si>
  <si>
    <t>Definición inadecuada de los programas de mantenimiento y desarrollo de competencias.</t>
  </si>
  <si>
    <t>El responsable del laboratorio define, actualiza y documenta los requisitos de competencia técnica requeridos para el desarrollo de las actividades del laboratorio a través de la descripción de las competencias técnicas requeridas usando el formato A-04-F-008 DESCRIPCIÓN DE COMPETENCIAS TÉCNICAS REQUERIDAS.</t>
  </si>
  <si>
    <t>Control 2: Verificar que el personal autorizado mantenga las competencias requeridas para ejecutar las actividades técnicas asignadas. 
Responsable: El Subdirector, Coordinadores y Responsables de los Laboratorios.
Propósito: Mantener y mejorar personal para las actividades del laboratorio para garantizar la continuidad en la prestación del servicio
Cómo se realiza la actividad: El Subdirector, Coordinadores y Responsables de los Laboratorios,  verifican que el personal autorizado mantenga las competencias requeridas para ejecutar las actividades técnicas asignadas. Asi mismo, el personal del laboratorio se reune e identifica las actividades y personas que requieren para la revisión de certificados de acuerdo a la capacidad del laboratorio.
Periodicidad: Anualmente.
Documento: A-04-P-002 Mantenimiento y desarrollo de las competencias del personal técnico.
Registro: A-04-F-009  Plan y evaluación mantenimiento y desarrollo de competencias del personal técnico y A-04-F-008 Descripción de competencias.
Qué pasa con las observaciones o desviaciones: Generar un TNC y suplemento del certificado con la revisión y firma de certificados con la revisión y firma de una persona autorizada para tal fin.
Revisar la necesidad de desarrollar la competencia y autorización de personas adicionales para la revisión de certificados de calibración.</t>
  </si>
  <si>
    <t>El responsable del laboratorio asegura que se cumpla con lo establecido en el procedimiento A-04-P-006 DESVINCULACIÓN LABORAL</t>
  </si>
  <si>
    <t>M01-R10</t>
  </si>
  <si>
    <t xml:space="preserve">Posibilidad de afectación económica y reputacional por demoras en la prestación de servicios de calibración o medición relacionados con la indisponibilidad de sistemas de medición debido a fallas en el suministro de energía eléctrica o la disponibilidad insuficiente de generadores de energía eléctrica de respaldo. </t>
  </si>
  <si>
    <t>Disponibilidad insuficiente de equipos generadores de energía eléctrica como respaldo a fallas en el suministro.</t>
  </si>
  <si>
    <t>Falla en el suministro de energía eléctrica</t>
  </si>
  <si>
    <t>El profesional especializado grado 18 del área servicios administrativos, participa en la elaboración del plan anual de adquisiciones en donde se incluyen los recursos e insumos para realizar mantenimiento periódico al generador de energía eléctrica existente en el instituto y su operación.</t>
  </si>
  <si>
    <t>Revisar y actualizar el procedimiento A-05-P-001 incluyendo los controles establecidos para el riesgo de falla en el suministro de energía eléctrica</t>
  </si>
  <si>
    <t>Profesional universitario grado 9 del área de servicios administrativos - Javier Núñez y Diego Cortes</t>
  </si>
  <si>
    <t>Falta de insumos para mantener en funcionamiento el generador de energía eléctrica.</t>
  </si>
  <si>
    <t xml:space="preserve">El profesional universitario grado 9 del área servicios administrativos, realiza seguimiento al cumplimiento del plan anual de mantenimiento de infraestructura haciendo énfasis en tomar acciones de mejora cuando se detecte que no hay cumplimiento en la programación. </t>
  </si>
  <si>
    <t>Mantenimiento inadecuado o insuficiente al equipo generador de energía eléctrica.</t>
  </si>
  <si>
    <t>Los profesionales encargados de los laboratorios reportan al área de servicios administrativos y a gestión de servicios metrológicos la afectación en la prestación de servicios de calibración y medición por fallas en el suministro de energía eléctrica.</t>
  </si>
  <si>
    <t>Revisar, actualizar y socializar los procedimientos M-01-P-001 y M-01-P-002 incluyendo los controles establecidos para el riesgo de falla en el suministro de energía eléctrica.</t>
  </si>
  <si>
    <t>Enlace de calidad - Paola Ochoa</t>
  </si>
  <si>
    <t>Sistemas de medición que no se encuentran conectados en la red regulada.</t>
  </si>
  <si>
    <t>Los profesionales encargados de los laboratorios conectan los sistemas de medición que así lo requieran a la red de energía regulada.</t>
  </si>
  <si>
    <t>Revisar, actualizar y socializar el manual M-08-M-001 incluyendo el control asociado.</t>
  </si>
  <si>
    <t>M08-R2</t>
  </si>
  <si>
    <t>(M-08)
Gestión de patrones nacionales y sistemas medición</t>
  </si>
  <si>
    <t>Posibilidad de afectación económica y reputacional por no garantizar la comparabilidad en las mediciones debido a no disponer de los patrones nacionales y sistemas de medición, a causa de la demora en la contratación del agente aduanero, restricciones aduaneras que no permiten el traslado de los patrones y sistemas de medición y/o falta de comunicación entre las áreas técnicas y él área que gestiona los trámites aduaneros.</t>
  </si>
  <si>
    <t>No disponibilidad de patrones nacionales y sistemas de medición.</t>
  </si>
  <si>
    <t>Demora en la contratación del agente aduanero para importar los patrones y sistemas de medición
Las restricciones aduaneras no permiten el traslado de los patrones de medición y sistemas de medición
Falta de comunicación entre las áreas técnicas y él área que gestiona trámites aduaneros.</t>
  </si>
  <si>
    <t>La profesional con funciones de comercio exterior de Secretaría General y el Subdirector, Coordinadores y responsables de los laboratorios de la SMF, determinan y confirman los procesos requeridos de Comercio Exterior, a través de los formatos A-05-F-004 características de la adquisición y términos de negociación, A-05-F-005 Descripción del equipo y/o MR, A-05-F-006 Necesidades de comercio exterior del INM consolidado y correos electrónicos, relacionados en el procedimiento A-05-P-002 Planeación actividades de Comercio Exterior.</t>
  </si>
  <si>
    <t>Se requiere actualizar el procedimiento A-04-P-010 (cambiar la frecuencia de revisión de la matriz de trimestral a anual)</t>
  </si>
  <si>
    <t>El profesional con funciones de comercio exterior, gestiona y realiza los tramites necesarios para la contratación oportuna del agente aduanero, a través de los formatos A-07-F-009 Solicitud de contratación, A-07-F-011 Recomendación de Supervisión, Solicitud de CDP, Certificado de Disponibilidad Presupuestal, 
A-07-F-026 Estudio de Mercado, Cotización presentada por el proveedor, Lista de chequeo, relacionados en el procedimiento A-05-P-002 Planeación actividades de Comercio Exterior.</t>
  </si>
  <si>
    <t xml:space="preserve">Revisar y actualizar (si aplica) el procedimiento A-04-P-018 CONFORMACION Y FUNCIONAMIENTO DEL COPASST validando la inclusión de este control.
Revisar y actualizar el numeral 6.3 del procedimiento A-04-P-017 INSPECCIONES DE SEGURIDAD Y SALUD EN EL TRABAJO Y GESTIÓN AMBIENTAL. </t>
  </si>
  <si>
    <t>El profesional con funciones de comercio exterior de Secretaría General, a través del personal de apoyo de la subdirección de metrología física, realiza seguimiento y control del proceso de reimportación de los equipos a través de la bitácora de seguimiento comercio exterior A-05-F-008 y la matriz procesos realizados de comercio exterior A-05-F-007, relacionados en los procedimientos de importación A-05-P-003 y de exportación A-05-P-004.</t>
  </si>
  <si>
    <t xml:space="preserve">Revisar y actualizar el numeral 6.3 del procedimiento A-04-P-017 INSPECCIONES DE SEGURIDAD Y SALUD EN EL TRABAJO Y GESTIÓN AMBIENTAL. </t>
  </si>
  <si>
    <t>El responsable del laboratorio encargado del contacto con el proveedor junto con el personal de apoyo de la subdirección de metrología física, realizan seguimiento al estado de avance en las calibraciones del exterior a través del formato M-08-F-009 PLAN DE TRAZABILIDAD - SMF. 
Documento: Procedimiento M-08-P-001 TRAZABILIDAD DE LAS MEDICIONES DEL INM</t>
  </si>
  <si>
    <t>* Identificación de requisitos legales prioritarios para la focalización de recursos.
* Definir los criterios para priorizar la focalización de recursos para el cumplimiento de requisitos legales.</t>
  </si>
  <si>
    <t>El personal de apoyo de la subdirección de metrología física, informa de manera oportuna a secretaría general, los equipos que no alcanzan a retornar al INM, para que se realice la reserva presupuestal y prórroga del contrato.
Documento: A-05-P-002 PLANEACIÓN ACTIVIDADES COMERCIO EXTERIOR (Actividad número 1) y procedimiento M-08-P-001 de trazabilidad de las mediciones del INM.</t>
  </si>
  <si>
    <t>El supervisor del contrato para el transporte nacional de equipos de medición, realiza seguimiento con la guía al estado del envío de equipos nacionalmente a través del formato A-05-F-019 SOLICITUD PARA ENVÍO DE BIENES POR EL SERVICIO DE PAQUETERIA.</t>
  </si>
  <si>
    <t xml:space="preserve">Realizar cuatro inspecciones preventivas para identificar y corregir situaciones que pueden materializarse en una emergencia y que estemos preparados para la atención de esta. </t>
  </si>
  <si>
    <t>M08-R3</t>
  </si>
  <si>
    <t>Posibilidad de afectación económica y reputacional por perdida de confianza en la validez de los resultados emitidos causado por incumplimiento al plan de aseguramiento de la validez de los resultados de los instrumentos de medición, debido cambios inesperados en el plan de aseguramiento de la validez de los resultados, al empleo de herramientas o métodos inadecuados o debilidades en la competencia del personal para realizar las actividades de aseguramiento de la validez de los resultados.</t>
  </si>
  <si>
    <t>Incumplir el plan de aseguramiento de la validez de los resultados de los instrumentos de medición</t>
  </si>
  <si>
    <t>Cambios inesperados en el plan de aseguramiento de la validez de los resultados
Empleo de herramientas, métodos inadecuados o debilidades en la competencia del personal para realizar las actividades de aseguramiento de la validez de los resultados.</t>
  </si>
  <si>
    <t>El riesgo afecta la imagen de la entidad a nivel nacional, con efecto publicitarios sostenible a nivel país</t>
  </si>
  <si>
    <t>El Personal de apoyo de la SMF, realiza seguimiento al plan de aseguramiento de la validez de los resultados, generando alarmas o ajustes que se requieran, a través del registro M-08-F-008 Plan de aseguramiento de la validez de los resultados y correos electrónicos, relacionados en el documento M-08-D-001 aseguramiento de la validez de los resultados.</t>
  </si>
  <si>
    <t>El responsable del laboratorio, aplica las herramientas establecidas para el seguimiento de la validez de los resultados y se apoya en los hallazgos relacionados al aseguramiento de la validez de los resultados del informe de evaluación por pares, a través de los registros establecidos por el laboratorio para los datos resultantes del seguimiento y el plan de mejoramiento a los hallazgos de relacionados con el aseguramiento de la evaluación por pares. 
Documentos: M-08-D-001 Aseguramiento de la validez de los resultados, propios de los laboratorios para el aseguramiento de la validez de los resultados y en el procedimiento E-02-P-002 acciones correctivas.</t>
  </si>
  <si>
    <t>M08-R6</t>
  </si>
  <si>
    <t>Posibilidad de afectación económica y reputacional por suspensión de un servicio programado o en curso e/o interrupción de la comparación continua (24/7) interlaboratorio de Tiempo y frecuencia, causado por daños o fallas en el funcionamiento del sistema de medición, debido a manipulación inadecuada durante su operación o en el mantenimiento interno, falta del mantenimiento preventivo requerido o fin de la vida útil del patrón o sistema de medición</t>
  </si>
  <si>
    <t>Daños o fallas en el funcionamiento del sistema de medición</t>
  </si>
  <si>
    <t>Manipulación inadecuada durante su operación o en el mantenimiento interno.
Falta del mantenimiento preventivo requerido.
Fin de la vida útil del patrón o sistema de medición
Daño fortuito</t>
  </si>
  <si>
    <t>El responsable del laboratorio, realiza la verificación del cumplimiento de los requisitos de competencia del personal, establecidos para el almacenamiento, manipulación y transporte de los sistemas de medición del laboratorio para su autorización, a través del formato A-08-P-009 plan y evaluación mantenimiento y desarrollo de competencias del personal técnico y Análisis del brechas del formato A-04-F-008 Descripción de competencias técnicas requeridas, relacionados en el procedimiento A-04-P-002 Mantenimiento y desarrollo de las competencias del personal técnico..</t>
  </si>
  <si>
    <t>El Personal de apoyo de la SMF, realiza seguimiento al cumplimiento y registro de las actividades ejecutadas de acuerdo a los planes de mantenimiento preventivo de los sistema de medición de los laboratorios de la SMF, a través de un informe de verificación, relacionado en el Manual Técnico de los servicios de calibración y medición metrológica M-01-M-001</t>
  </si>
  <si>
    <t>El Subdirector de la SMF y su personal de apoyo, revisan el plan de renovación y de equipamiento redundante para los Laboratorios de la SMF e incluyen dentro de la primera asignación presupuestal de inversión la SMF, la adquisición de aquellos patrones y sistemas de medición cuya proyección de vida útil ha alcanzado un 70%; a través del plan de renovación y de equipamiento redundante para los Laboratorios de la SMF y el formato E-01-F-005 Actualización plan de inversión, relacionados en el Manual de Gestión de Equipamiento M-08-M-001 y en el procedimiento E-01-P-001 Formulación, registro y seguimiento de proyectos de inversión, respectivamente.</t>
  </si>
  <si>
    <t>Reducir (compartir)</t>
  </si>
  <si>
    <t>El personal del laboratorio de Tiempo y Frecuencia, mantiene un sistema redundante de comparación continua (24/7) interlaboratorio, verificado constantemente contra el sistema principal, relacionado en el procedimiento M-08-L08-P-001 Aseguramiento de la validez de los resultados en Tiempo y Frecuencia.</t>
  </si>
  <si>
    <t>M08-R7</t>
  </si>
  <si>
    <t>Posibilidad de afectación reputacional y económica por quejas de los clientes debido a la demora en la prestación del servicio por falla o ausencia inesperada del software  de adquisición de datos del laboratorio</t>
  </si>
  <si>
    <t>Detección de virus en el software de adquisición de datos
Sobrecarga de energía que afecte el funcionamiento del computador donde se almacena el software de adquisición de datos
Obsolescencia tecnológica del software de adquisición de datos que le impide correr en un sistema operativo actualizado</t>
  </si>
  <si>
    <t xml:space="preserve">Falla o ausencia inesperada que impida el funcionamiento o el acceso al software de adquisición de datos de medición utilizado para las actividades del laboratorio </t>
  </si>
  <si>
    <t>Fallas Tecnológicas</t>
  </si>
  <si>
    <t>El profesional del laboratorio salvaguarda el back up del software de adquisición de datos por medio de una copia almacenada en el laboratorio y otra copia entregada a la Oficina de Informática y Desarrollo Tecnológico para su conservación teniendo en cuenta el procedimiento E-05-P-002 Backups y restauración de información en equipos de cómputo y servidores. 
Registro: Correo electrónico (Solicitud de backup por parte del laboratorio) y el formato E-05-F-006 Elaboración de backups para equipos de cómputo y portátiles</t>
  </si>
  <si>
    <t>El profesional del laboratorio mantiene conectado a la red de energía regulada el computador donde se encuentra el software de adquisición de datos de acuerdo al lineamiento establecido en el manual de gestión del equipamiento M-08-M-001 y en los documentos propios del laboratorio donde se indique el uso del software de adquisición de datos (verificación periódica del control)</t>
  </si>
  <si>
    <t>M04-R1</t>
  </si>
  <si>
    <t>(M-04)
Asistencia Técnica</t>
  </si>
  <si>
    <t>Posibilidad de afectación económica y reputacional por Incumplir los acuerdos pactados con el cliente para la prestación del servicio de asistencia técnica de acuerdo con su modalidad, debido a Insuficiente dimensionamiento de las características y condiciones de competencia requerida para la prestación del mismo.</t>
  </si>
  <si>
    <t>Competencia técnica insuficiente o no adecuada del personal vinculado a la prestación del servicio.</t>
  </si>
  <si>
    <t>Insuficiente dimensionamiento de las características y condiciones de competencia requerida para la prestación del servicio</t>
  </si>
  <si>
    <t>El Coordinador Grupo AT o quien se designe realiza  reunión operativa previa a la ejecución de un servicio, la cual es desarrollada entre el Grupo de Asistencia Técnica y el personal del laboratorio  para validar la capacidad técnica disponible, que permita el cumplimiento de requisitos</t>
  </si>
  <si>
    <t>El Coordinador Grupo AT o quien se designe solicita en BPM  que las subdirecciones verifiquen la designación y disponibilidad de los recursos para la prestación del servicio</t>
  </si>
  <si>
    <t>M04-R2</t>
  </si>
  <si>
    <t>Posibilidad de afectación reputacional por divulgación de  información del cliente de carácter confidencial debido a Incumplimiento del acuerdo de confidencialidad por parte del colaborador que presta el servicio.</t>
  </si>
  <si>
    <t>Uso indebido de la información de carácter confidencial del cliente</t>
  </si>
  <si>
    <t>Incumplimiento del acuerdo de confidencialidad por parte del colaborador que presta el servicio.</t>
  </si>
  <si>
    <t>El Coordinador Grupo AT o quien se designe gestiona la firma del acuerdo de confidencialidad por parte de todos los expertos que intervienen en cada servicio.</t>
  </si>
  <si>
    <t>M04-R3</t>
  </si>
  <si>
    <t>Posibilidad de afectación económica y reputacional por Incumplimiento en la ejecución del procedimiento de prestación del servicio de AT debido al desconocimiento del procedimiento de prestación de servicio de AT por parte de la Alta Dirección.</t>
  </si>
  <si>
    <t>Incumplimiento de las etapas del procedimiento e prestación del servicio de AT</t>
  </si>
  <si>
    <t>Desconocimiento del procedimiento de prestación de servicio de AT por parte de la Alta Dirección.</t>
  </si>
  <si>
    <t xml:space="preserve">El Coordinador Grupo AT o quien se designe socializa el procedimiento a las áreas intervinientes cuando éstos tengan cambios significativos mediante sesión sincrónica, presencial o a través de piezas comunicativas o correos electrónico </t>
  </si>
  <si>
    <t>El Coordinador Grupo AT o quien se designe hace el seguimiento de los servicios a través del sistema de información BPM</t>
  </si>
  <si>
    <t>M07-R1</t>
  </si>
  <si>
    <t>(M-07)
Investigación, Desarrollo e Innovación</t>
  </si>
  <si>
    <t>Posibilidad de afectación  reputacional por insuficiencia de recursos para el desarrollo del I+D+i en el INM, debido a la falta de una estrategia integral en I+D+i</t>
  </si>
  <si>
    <t>Insuficientes recursos para financiar el I+D+i en el INM</t>
  </si>
  <si>
    <t>Falta de una estrategia integral y clara para el desarrollo del I+D+i en el INM, que se irradie desde la Alta Dirección</t>
  </si>
  <si>
    <t xml:space="preserve">
La Alta Dirección asigna el equipo de trabajo con funciones para el proceso de I+D+i, a través de resolución.</t>
  </si>
  <si>
    <t>Falta de tiempo por parte del personal</t>
  </si>
  <si>
    <t xml:space="preserve">El Coordinador del Grupo de I+D+i revisa y actualiza la documentación asociada al proceso M-07 I+D+i </t>
  </si>
  <si>
    <t>Carencia de competencias para la investigación</t>
  </si>
  <si>
    <t xml:space="preserve">La Alta Dirección asigna recursos necesarios para el desarrollo del I+D+i en el INM
</t>
  </si>
  <si>
    <t>M07-R2</t>
  </si>
  <si>
    <t>Posibilidad de afectación  reputacional por la pérdida del reconocimiento como Centro de Investigación, debido a la falta de proyectos de I+D+i o de investigadores reconocidos</t>
  </si>
  <si>
    <t>Falta de desarrollo de proyectos en I+D+i y productos para la generación de nuevo conocimiento
Falta de investigadores reconocidos y clasificados</t>
  </si>
  <si>
    <t>Carencia de una estrategia integral y clara para el desarrollo del I+D+i en el INM, que contemple el posicionamiento del INM como líder en materia de metrología</t>
  </si>
  <si>
    <t xml:space="preserve">La Coordinación de I+D+i y los responsables designados por la Alta Dirección establecen el  "Plan de Mejoramiento para el Reconocimiento de Actores de Minciencias - M601PR05MO3" para otorgar y mantener el Reconocimiento
</t>
  </si>
  <si>
    <t xml:space="preserve">La Coordinación de I+D+i y los responsables designados por esta Coordinación realizan seguimiento semestral del  "Plan de Mejoramiento para el Reconocimiento de Actores de Minciencias - M601PR05MO3" para otorgar y mantener el Reconocimiento
</t>
  </si>
  <si>
    <t>La Coordinación de I+D+i realiza seguimiento al desarrollo de proyectos de I+D+i, a través de la presentación de evidencias del "E-01-F-009 Presentación del Plan de Acción" para la vigencia</t>
  </si>
  <si>
    <t>M07-R3</t>
  </si>
  <si>
    <t>Posibilidad de afectación  reputacional por la divulgación de la información no controlada (que pueda imposibilitar la solicitud posterior a una patente), debido a la carencia de lineamientos para la gestión de la propiedad intelectual en el INM.</t>
  </si>
  <si>
    <t xml:space="preserve">Falta de lineamientos que protejan la propiedad intelectual
Falta de responsabilidades para la promoción y protección de los productos del INM   susceptibles a ser protegidos </t>
  </si>
  <si>
    <t>Carencia de lineamientos para la gestión de la propiedad intelectual en el INM</t>
  </si>
  <si>
    <t>La Coordinación de I+D+i y los responsables designados por la Alta Dirección establecen el documento con los lineamientos para la gestión de la propiedad intelectual en el INM.</t>
  </si>
  <si>
    <t>M03-R1</t>
  </si>
  <si>
    <t>(M-03)
Producción de Materiales de Referencia y Desarrollo de Métodos Analíticos</t>
  </si>
  <si>
    <t>Posibilidad de incumplimiento del plan de producción por falta de características de calidad del material de acuerdo con lo establecido en el plan, debido a la planeación de actividades simultaneas durante la producción, devolución del material por parte del cliente (queja o reclamo) y falta de mantenimiento de los equipos.
Frecuencia: en el año en promedio se realizan 20 lotes</t>
  </si>
  <si>
    <t>Incumplimiento  de las características de calidad del material conforme a lo establecido en el plan</t>
  </si>
  <si>
    <t>planeación de actividades simultaneas durante la producción
Devolución del material por parte del cliente (queja o reclamo) 
Falta de mantenimiento de los equipos</t>
  </si>
  <si>
    <t>Usuarios, productos y practicas , organizacionales</t>
  </si>
  <si>
    <t>El responsable de la producción verifica el cumplimiento de las acciones definidas en el plan de producción, registrando la información en el formato M-03-F-011 supervisión de la producción</t>
  </si>
  <si>
    <t>El responsable de la producción verifica la estabilidad del material de referencia incluyendo la información en los registros de monitoreo (según aplique)</t>
  </si>
  <si>
    <t>El(los) responsable(s) de la producción y el coordinador del respectivo GIT garantizan la ejecución de los mantenimientos, verificación y calibraciones de los equipos de la SMQB empleados en la producción; el coordinador o la persona designada del Grupo de Metrología en Análisis Químico de Materiales verifica y registra la información en el formato M-03-F-022 Plan de Gestión de laboratorios.</t>
  </si>
  <si>
    <t>M03-R2</t>
  </si>
  <si>
    <t>Posibilidad de desviaciones en las características de calidad de los lotes de materiales producidos por personal no cualificado para la producción de Materiales de Referencia y el Desarrollo de Métodos Analíticos debido a la falta de una planeación adecuada de las actividades de entrenamiento del personal, cambio de personal o desarrollo de actividades sin la actualización o generación de una nueva autorización.</t>
  </si>
  <si>
    <t>Personal no cualificado para la producción de Materiales de Referencia y el Desarrollo de Métodos Analíticos</t>
  </si>
  <si>
    <t>Falta de una planeación adecuada de las actividades de entrenamiento del personal.
 - Cambio de personal o de actividades a desarrollar sin la actualización o generación de una nueva autorización.</t>
  </si>
  <si>
    <t>El coordinador o la persona designada del Grupo de Metrología en Análisis Químico de Materiales realiza un seguimiento a las actividades planeadas sobre capacitación del personal, dejando registro en el formato M-03-F-022 Plan de Gestión de laboratorios.</t>
  </si>
  <si>
    <t>Los coordinadores de la SMQB garantizar que el personal se encuentre autorizado para las actividades que ejecuta según el plan de entrenamiento, dejando evidencia en el formato M-03-F-022 Plan de gestión de laboratorios y autorizaciones actualizadas.</t>
  </si>
  <si>
    <t>M03-R3</t>
  </si>
  <si>
    <t>Posibilidad de falta de estandarización en las actividades en los laboratorios por desconocimiento del personal sobre el sistema integrado de gestión  debido a falta de socialización de los cambios realizados a la documentación e inadecuada revisión periódica del cumplimiento de los requisitos.
Frecuencia: en total se cuenta con 40 colaboradores que realizan actividades en los laboratorios. Si se cuenta con un estimado de 200 días de labor con actividades de laboratorio, se estaría promediando un total de 8000 actividades al año</t>
  </si>
  <si>
    <t xml:space="preserve">Desconocimiento del sistema integrado de gestión de calidad por parte del personal </t>
  </si>
  <si>
    <t>Desconocimiento del personal de los requisitos establecidos y los cambios realizados a estos.
Falta de revisión periódica del cumplimiento de los requisitos.</t>
  </si>
  <si>
    <t>El personal de apoyo de calidad realiza o gestiona la realización de socializaciones del SIG para el personal de la SMQB, dejando evidencia en las evaluaciones de las socializaciones o en el plan de gestión de laboratorios.</t>
  </si>
  <si>
    <t>Los supervisores de calidad asignados en el SMQB establece el grado de apropiación del SIG por parte del personal de la SMQB, dejando evidencia en el informe de supervisión de calidad de la SMQB y en el formato M-03-F-024 supervisión de la calidad.</t>
  </si>
  <si>
    <t>M03-R4</t>
  </si>
  <si>
    <t>Posibilidad de recibir quejas/reclamos y generar reprocesos por contaminación de los Materiales de Referencia debido al inadecuado lavado del material del laboratorio y deficiente limpieza de espacios para la producción de materiales
Frecuencia: en promedio se realizan 20 lotes de material de referencia al año</t>
  </si>
  <si>
    <t>Contaminación de Materiales de Referencia</t>
  </si>
  <si>
    <t>Lavado de material inadecuado y deficiente limpieza de espacios para la producción de materiales</t>
  </si>
  <si>
    <t>Los responsables de las producciones de Materiales de Referencia garantizan la limpieza de los elementos, espacios utilizados en la producción para evitar la contaminación cruzada de los diferentes MR, dejando evidencia en formato de preparación de MR y informe de producción.</t>
  </si>
  <si>
    <t>M03-R5</t>
  </si>
  <si>
    <t>Posibilidad de producir Materiales de Referencia que no cumplen con los estándares o requisitos establecidos por la imposibilidad de identificar adecuadamente el Material  debido a falta de información de la etiqueta del material, caída de la Etiqueta o información ilegible.
Frecuencia: en promedio se realizan 20 lotes de material de referencia al año</t>
  </si>
  <si>
    <t>Imposibilidad de identificar el contenido del recipiente del Material de Referencia a partir de la información de la etiqueta</t>
  </si>
  <si>
    <t>Información incompleta por parte de la persona que digita la datos del Material de Referencia
Caída de la Etiqueta o información ilegible</t>
  </si>
  <si>
    <t>Los supervisores de la producción asignados en la MTTC verifican las condiciones de las etiqueta de los MR producidos, dejando evidencia en el formato M-03-F-011 Supervisión de la producción de los MR</t>
  </si>
  <si>
    <t>Los coordinadores SMQB y los responsables de la producción garantizan que el material de la etiqueta es compatible con el tipo de envase y las condiciones de almacenamiento; adicionalmente verificar que la información no se borre en las diferentes temperaturas de almacenamiento y manipulación, dejando evidencia de la actividad en el formato M-03-F-006 cadena de custodia y formatos de preparación de MR.</t>
  </si>
  <si>
    <t>Los coordinadores SMQB y los responsables de producción deben asegurar que en la producción piloto exista evidencia que la etiqueta es compatible con el envase dejando evidencia en el informe de producción.</t>
  </si>
  <si>
    <t>M03-R6</t>
  </si>
  <si>
    <t xml:space="preserve">Posibilidad de generación de trabajos no conformes  por errores en el valor asignado o en la incertidumbre del MR a producir, debido a insuficiente control de las producciones y desviaciones en el proceso de preparación </t>
  </si>
  <si>
    <t>Afectación en el valor asignado o en la incertidumbre del MR a producir</t>
  </si>
  <si>
    <t>Insuficiente control de las producciones.
Desviaciones en el proceso de preparación.</t>
  </si>
  <si>
    <t xml:space="preserve">     Entre 10 y 50 SMLMV </t>
  </si>
  <si>
    <t>Los responsables de la producciones piloto de cada MR identifican desviaciones y hacen pruebas en cada etapa de la producción previo a realizar una producción normalizada, dejando evidencia en el Informe de producción de MR y en el formato M-03-F-011 Supervisión de la producción</t>
  </si>
  <si>
    <t xml:space="preserve">Posibilidad de generación de trabajos no conformes por errores en el valor asignado o en la incertidumbre del MR a producir, debido a insuficiente control de las producciones y desviaciones en el proceso de preparación </t>
  </si>
  <si>
    <t>Los responsables del proyecto de producción garantizan la calidad de los MR producidos cuando se presentan desviaciones a la planeación, dejando evidencia en el acta de la Mesa de Trabajo Técnica Científica tanto de los controles a implementar en la producciones futuras como del responsable de la implementación de dichas actividades (incluir lineamiento en el manual técnico donde se incluya el responsable y el documento en el que se registrará lo ocurrido y el control establecido).</t>
  </si>
  <si>
    <t>M03-R7</t>
  </si>
  <si>
    <t>Posibilidad de reprocesos o recepción de quejas/reclamos  por información errónea o faltante en certificados/hoja de información de MR con errores o falta de información, debido a una inadecuada revisión de los certificados de los MR.</t>
  </si>
  <si>
    <t>Certificados/hoja de MR con errores o falta de información.</t>
  </si>
  <si>
    <t>Deficiencias en la revisión de los certificados de los MR.</t>
  </si>
  <si>
    <t>El subdirector de la SMQB garantiza que el contenido del certificado de un MR esté completo y cumpla con los requisitos del norma y SIG, dejando registro en el formato M-03-F-038 Revisión de certificados u hojas de MR.</t>
  </si>
  <si>
    <t>M03-R8</t>
  </si>
  <si>
    <t>Posibilidad de daño parcial o total del equipo o fallas en los instrumentos de medición utilizados en la producción de MR  por la manipulación o instalación inadecuada debido al desconocimiento del funcionamiento del equipo por parte del personal o la ausencia de condiciones técnicas requeridas por los equipos en la infraestructura
Frecuencia: los equipos se podrían clasificar de acuerdo su frecuencia de uso y tomar específicamente estos para ésta medición. Para este caso, contamos con 8 equipos que son los de mayor uso. Si se cuenta con un estimado de 200 días de labor con uso diario de equipos, se estaría promediando un total de 1600 actividades al año</t>
  </si>
  <si>
    <t>Falla en los equipos de medición para la producción de MR</t>
  </si>
  <si>
    <t>Manipulación inadecuada por desconocimiento del funcionamiento del equipo.
Ausencia de especificaciones técnicas para la adquisición del equipo de acuerdo a la infraestructura</t>
  </si>
  <si>
    <t xml:space="preserve">     Entre 50 y 100 SMLMV </t>
  </si>
  <si>
    <t>El subdirector y coordinadores de la SMQB garantiza la correcta manipulación de los equipos a través del entrenamiento del personal técnico, dejando evidencia en el formato A-04-F-009 Plan y evaluación del mantenimiento y desarrollo de las competencias del personal técnico</t>
  </si>
  <si>
    <t>El coordinador del grupo de servicios administrativos verificar que la infraestructura del INM sea la adecuada para la instalación de equipos antes de su adquisición, dejando evidencia en el formato A-07-P-001 Etapa Pre-Contractual</t>
  </si>
  <si>
    <t>M03-R9</t>
  </si>
  <si>
    <t>Posibilidad de generar trabajos no conformes, quejas/reclamos  por incumplimiento o fallas en las actividades subcontratadas (tercerizadas) para la producción de los MR,  debido a la inadecuada selección del subcontratista y falta de revisión /supervisión de las actividades realizadas por el subcontratista
Frecuencia: en promedio al año se realizan dos proceso de subcontratación para los procesos de producción de Materiales de Referencia</t>
  </si>
  <si>
    <t>Incumplimiento o fallas en las actividades subcontratadas (tercerizadas) para la producción de los MR</t>
  </si>
  <si>
    <t>Inadecuada selección del subcontratista.
Falta de revisión /supervisión de las actividades realizadas por el subcontratista</t>
  </si>
  <si>
    <t>Los responsables de la producción evalúan la competencia del subcontratista para las actividades de producción de materiales de referencia, dejando registro en el formato M-03-F-040 Selección de subcontratistas.</t>
  </si>
  <si>
    <t>Los responsables de la producción o supervisor de la producción garantizan la correcta ejecución de las actividades realizadas por el subcontratista, dejando evidencia en el formato A-07-F-038 Informe de supervisión o M-03-F-011 supervisión de la producción</t>
  </si>
  <si>
    <t>M03-R10</t>
  </si>
  <si>
    <t>Posibilidad de pérdida de información por ataques o fallas de los sistemas informáticos debido a falta de generación de copias de respaldo  de manera efectiva.
Frecuencia: Se estima que el año tiene 240 días hábiles y se calcula que por lo menos cada colaborador ingresa 4 veces diarias a realizar consultas en internet.</t>
  </si>
  <si>
    <t xml:space="preserve">Ataques informáticos o fallas de los sistemas informáticos </t>
  </si>
  <si>
    <t>Falta de generación de copias de respaldo  de manera efectiva.</t>
  </si>
  <si>
    <t>Asistencia a las capacitaciones programadas por el grupo de la OIDT en cuanto a seguridad de la información.</t>
  </si>
  <si>
    <t>Se realizan backup periódico de la información de la información importante de los equipos de computo asociados a equipos de medición</t>
  </si>
  <si>
    <t>M03-R11</t>
  </si>
  <si>
    <t>Posibilidad de falta de accesibilidad a la información en el momento que se requiere por restricciones de uso de los recursos compartidos  debido a falta de solicitud de actualización de permisos de los funcionarios y contratistas.
Frecuencia: en la subdirección hay aproximadamente 43 personas, las cuales requieren permiso de acceso a los recursos compartidos.</t>
  </si>
  <si>
    <t>Fallas de conectividad en los diferentes softwares y aplicativos utilizados por la entidad</t>
  </si>
  <si>
    <t>Inconvenientes con el servicio de internet o en los servidores.</t>
  </si>
  <si>
    <t>Mantenimiento periódico de las redes y sistemas informáticos por parte del área encargada</t>
  </si>
  <si>
    <t>M05-R1</t>
  </si>
  <si>
    <t>(M-05)
Ensayos de Aptitud</t>
  </si>
  <si>
    <t>Posibilidad de afectación económica por baja participación de los laboratorios en Ensayos de Aptitud debido a debilidades e insuficiencia en la estrategia de comunicación y difusión de la oferta de servicios</t>
  </si>
  <si>
    <t>Falta de divulgación de la oferta de ensayos de aptitud del INM</t>
  </si>
  <si>
    <t xml:space="preserve">Debilidades e insuficiencia en la estrategia de comunicación y difusión de la oferta de servicios </t>
  </si>
  <si>
    <t>El profesional del Grupo de Asistencia Técnica donde pertenece el proceso de ensayos de aptitud o a quien designe debe hacer seguimiento a la oferta del ensayo de aptitud, mediante contacto directo con los posibles participantes por medio de correo electrónico.</t>
  </si>
  <si>
    <t>El profesional del Grupo de Asistencia Técnica donde pertenece el proceso de ensayos de aptitud o a quien designe revisa y actualiza periódicamente la base de datos de interesados</t>
  </si>
  <si>
    <t>No se actualiza la base de datos de los interesados en los EA</t>
  </si>
  <si>
    <t>El profesional del Grupo de Asistencia Técnica donde pertenece el proceso de ensayos de aptitud o a quien designe realiza la solicitud de publicación del ensayo en la página web y redes sociales por medio de intranet o correo electrónico.</t>
  </si>
  <si>
    <t>M05-R2</t>
  </si>
  <si>
    <t>Posibilidad de afectación reputacional por la generación de error en los valores calculados por parte del grupo técnico del EA en las hojas de cálculo usadas para el procesamiento debido a la falta de automatización en la captura de datos y procesamiento.</t>
  </si>
  <si>
    <t>Ausencia de un aplicativo que automatice los cálculos implicados en el desarrollo del ensayo de aptitud.</t>
  </si>
  <si>
    <t>Falta de automatización en la captura de datos y procesamiento.</t>
  </si>
  <si>
    <t xml:space="preserve">El profesional del Grupo de Asistencia Técnica donde pertenece el proceso de ensayos de aptitud o a quien designe realiza revisiones cruzadas en los cálculos de cada EA ejecutado a través de su respectiva hoja de calculo. </t>
  </si>
  <si>
    <t>Insuficientes verificaciones, que permitan garantizar la detección de posibles errores en los cálculos</t>
  </si>
  <si>
    <t>El profesional del Grupo de Asistencia Técnica donde pertenece el proceso de ensayos de aptitud o a quien designe verifica los campos de las hojas de cálculo en cada ejecución de EA con el fin de validar su funcionamiento a través de la respectiva hoja de cálculo.</t>
  </si>
  <si>
    <t>M05-R3</t>
  </si>
  <si>
    <t>Posibilidad de afectación reputacional por la generación de errores en los reportes de resultados por parte de los participantes en el ensayo de aptitud que evidencien el incumplimiento de los requisitos del numeral 4.6 de la ISO/IEC 17043 del INM como proveedor de EA, debido a la falta de rigurosidad en la revisión de los protocolos e instrucciones generados a los laboratorios para su participación y falta de verificación de los requisitos de participación.</t>
  </si>
  <si>
    <t>La información del protocolo e instrucciones para los participantes no son suficientemente claras</t>
  </si>
  <si>
    <t xml:space="preserve">Falta de rigurosidad en la revisión de los protocolos e instrucciones generados a los laboratorios para su participación en el EA y falta de verificación de los requisitos de participación. </t>
  </si>
  <si>
    <t>El profesional del Grupo de Asistencia Técnica donde pertenece el proceso de ensayos de aptitud o a quien designe solicita al experto técnico designado el diligenciamiento o revisión del protocolo final y sus anexos (instrucciones  e informe de resultados).</t>
  </si>
  <si>
    <t>Falta de competencia técnica del participante</t>
  </si>
  <si>
    <t xml:space="preserve">El profesional del Grupo de Asistencia Técnica donde pertenece el proceso de ensayos de aptitud o a quien designe  envía un correo a los participantes definiendo un tiempo para aclaración de dudas técnicas, tratamiento estadístico de resultados u operacionales según lo especificado en el protocolo final mediante correo electrónico. </t>
  </si>
  <si>
    <t>No cuentan con el sistema de medición adecuado para la participación.</t>
  </si>
  <si>
    <t>El profesional del Grupo de Asistencia Técnica donde pertenece el proceso de ensayos de aptitud o a quien designe revisa los protocolos en cuanto a que cuente con un lenguaje claro y requisitos de la NTC ISO/IEC 17043 por medio del formato de revisión (M-05-F-015).</t>
  </si>
  <si>
    <t>M05-R4</t>
  </si>
  <si>
    <t>Posibilidad de afectación reputacional por diseño del ensayo de aptitud inadecuado o incompleto debido a falta de conocimiento en la magnitud y de experiencia en el desarrollo de la etapa de diseño y planificación de un ensayo de aptitud.</t>
  </si>
  <si>
    <t>Falta de experiencia del personal en el desarrollo del ensayo de aptitud.</t>
  </si>
  <si>
    <t>Falta de conocimiento en la magnitud y de experiencia en el desarrollo de la etapa de diseño y planificación de un ensayo de aptitud</t>
  </si>
  <si>
    <t xml:space="preserve"> El profesional del Grupo de Asistencia Técnica donde pertenece el proceso de ensayos de aptitud o a quien designe verifica la idoneidad de los expertos a través de sus autorizaciones.</t>
  </si>
  <si>
    <t>Falta de conocimiento de la magnitud especifica.</t>
  </si>
  <si>
    <t xml:space="preserve"> El profesional del Grupo de Asistencia Técnica donde pertenece el proceso de ensayos de aptitud o a quien designe   solicita a los subdirectores de cada dependencia el apoyo de los expertos técnicos para cada ensayo de aptitud a inicio de la vigencia a través de correo electrónico  .</t>
  </si>
  <si>
    <t xml:space="preserve">No son claros los criterios en el formato de diseño y planificación del EA </t>
  </si>
  <si>
    <t xml:space="preserve"> El profesional del Grupo de Asistencia Técnica donde pertenece el proceso de ensayos de aptitud o a quien designe  revisa y ajusta (en el caso que sea pertinente) el formato de diseño y planificación M-05-F-011 y el Instructivo de Diseño y planificación del EA (M-05-I-001) en aplicativo ISOLUCION. Posteriormente verificar que el formato M-05-F-011 se encuentre debidamente diligenciado para que EA ofertado en la vigencia.
</t>
  </si>
  <si>
    <t xml:space="preserve"> El profesional del Grupo de Asistencia Técnica donde pertenece el proceso de ensayos de aptitud o a quien designe verifica que el laboratorio que asignará el valor cuente con un método validado a través del diligenciamiento del formato de diseño y planificación M-05-F-011.</t>
  </si>
  <si>
    <t>M05-R5</t>
  </si>
  <si>
    <t>Posibilidad de afectación reputacional por Incumplimiento del tiempo pactado para la entrega del Informe final debido a Inadecuada planificación que considere factores externos e internos para el desarrollo de los EA.</t>
  </si>
  <si>
    <t xml:space="preserve">Factores  externos que se presentan en la ejecución del EA   en la ejecución del ejercicio </t>
  </si>
  <si>
    <t>Inadecuada planificación que considere factores externos e internos para el desarrollo de los EA.</t>
  </si>
  <si>
    <t xml:space="preserve"> El profesional del Grupo de Asistencia Técnica donde pertenece el proceso de ensayos de aptitud o a quien designe realiza el seguimiento a las fechas de emisión de protocolos e informes a través de Google calendar. </t>
  </si>
  <si>
    <t>Inadecuada planificación interna de la ejecución del ensayo de aptitud</t>
  </si>
  <si>
    <t xml:space="preserve">El profesional del Grupo de Asistencia Técnica donde pertenece el proceso de ensayos de aptitud o a quien designe revisa los posibles riesgos de ejecución de los ensayos de aptitud y considera plazos adicionales en el formato de diseño y planificación (M-05-F-011). </t>
  </si>
  <si>
    <t xml:space="preserve"> El profesional del Grupo de Asistencia Técnica donde pertenece el proceso de ensayos de aptitud o a quien designe envía una comunicación al cliente por correo electrónico cuando se presenten modificaciones al cronograma.</t>
  </si>
  <si>
    <t>M05-R6</t>
  </si>
  <si>
    <t>Posibilidad de afectación económica y reputacional por suspensión del ensayo de aptitud debido a la afectación de la integridad del Ítem de EA (falta de estabilidad,  daño o avería, entre otros) debido a debilidades en la definición de estrategias de cuidado, conservación de estabilidad del ítem durante el desarrollo del EA y  falta de competencia del laboratorio participante del EA.</t>
  </si>
  <si>
    <t xml:space="preserve">Falta claridad en las instrucciones de almacenamiento, manejo o transporte del ítem </t>
  </si>
  <si>
    <t xml:space="preserve">Debilidades en la definición de estrategias de cuidado, conservación de estabilidad del ítem durante el desarrollo del EA y  falta de competencia del laboratorio participante del EA. </t>
  </si>
  <si>
    <t xml:space="preserve">     Afectación menor a 10 SMLMV .</t>
  </si>
  <si>
    <t xml:space="preserve">El profesional del Grupo de Asistencia Técnica donde pertenece el proceso de ensayos de aptitud o a quien designe solicita al experto técnico designado el diligenciamiento o revisión del protocolo final y sus anexo 1 especificaciones manipulación, transporte y almacenamiento del ítem. </t>
  </si>
  <si>
    <t xml:space="preserve">El tiempo de estudio de caracterización del ítem no fue suficiente según lo definido en la planificación. </t>
  </si>
  <si>
    <t>El profesional del Grupo de Asistencia Técnica donde pertenece el proceso de ensayos de aptitud o a quien designe realiza el análisis de estabilidad del ítem durante el desarrollo del EA según los tiempos definidos en la planificación. En el caso de detectar falta de estabilidad o variación en la misma, se evalúa la realización de comprobaciones adicionales durante la ronda.</t>
  </si>
  <si>
    <t>Incumplimiento  de las instrucciones de almacenamiento, manejo o transporte del ítem por parte del laboratorio participante</t>
  </si>
  <si>
    <t xml:space="preserve">El profesional del Grupo de Asistencia Técnica donde pertenece el proceso de ensayos de aptitud o a quien designe  revisa que los laboratorios que se inscriben en los EA cumplan con los requisitos de participación definidos en el protocolo preliminar, esta verificación se registra en el formato Revisión de Documentos M-05-F-014 para cada EA. </t>
  </si>
  <si>
    <t>M05-R7</t>
  </si>
  <si>
    <t>Posibilidad de afectación reputacional por falta de Imparcialidad y conflicto de intereses debido a la no identificación desde la etapa de diseño y planificación del EA.</t>
  </si>
  <si>
    <t>Existen intereses particulares del grupo técnico y demás involucrados (entidades patrocinadoras, alta dirección, entre otros) en la evaluación de desempeño de los laboratorios participantes.</t>
  </si>
  <si>
    <t xml:space="preserve">Falta identificación de existencia de conflicto de interés según personal involucrado  desde la etapa diseño y planificación del EA  </t>
  </si>
  <si>
    <t>Fraude Interno</t>
  </si>
  <si>
    <t>Fraude</t>
  </si>
  <si>
    <t xml:space="preserve">El profesional del Grupo de Asistencia Técnica donde pertenece el proceso de ensayos de aptitud o a quien designe  indaga desde la etapa de diseño y planificación del EA la posible existencia de conflicto de interés en el grupo técnico o entidades patrocinadoras por medio del formato M-05-F-011. </t>
  </si>
  <si>
    <t>No se identifica desde la planificación la posibilidad de existencia de conflicto de interés según los involucrados en el desarrollo del EA</t>
  </si>
  <si>
    <t xml:space="preserve">El profesional del Grupo de Asistencia Técnica donde pertenece el proceso de ensayos de aptitud o a quien designe declara la eventualidad en el caso que se presenten situaciones de conflicto de interés,  para darle un tratamiento adecuado de acuerdo a los lineamientos establecidos por el INM. </t>
  </si>
  <si>
    <t xml:space="preserve">El profesional del Grupo de Asistencia Técnica donde pertenece el proceso de ensayos de aptitud o a quien designe realiza seguimiento al proceso de codificación del laboratorio participante y verifica que la información entregada al experto técnico conserve la anonimización de datos  de acuerdo con los lineamientos establecidos por el proceso de ensayo de aptitud para este tema. </t>
  </si>
  <si>
    <t>M05-R8</t>
  </si>
  <si>
    <t>Posibilidad de afectación reputacional por  errores en la emisión del informe final debido a Inadecuada revisión (errores en la transcripción, entre otros)</t>
  </si>
  <si>
    <t>Desconocimiento sobre la norma ISO/IEC 17043 en cuanto a los componentes que debe tener la realización de informes de ensayo de aptitud (Numeral 4.8)
Tiempo insuficiente para la revisión del informe final.</t>
  </si>
  <si>
    <t>Inadecuada revisión del informe final (errores en la transcripción, entre otros)</t>
  </si>
  <si>
    <t>El profesional del Grupo de Asistencia Técnica donde pertenece el proceso de ensayos de aptitud o a quien designe realiza la revisión de los informes preliminares y finales haciendo uso de la lista de verificación para la revisión de protocolos e informes M-05-F-015.</t>
  </si>
  <si>
    <t>M05-R9</t>
  </si>
  <si>
    <t>Posibilidad de afectación reputacional y económica por subcontratación de servicios que no cumplan requisitos técnicos  debido a insuficiencia o falta de aplicación  de criterios en la selección de subcontratistas</t>
  </si>
  <si>
    <t>No aplicar criterios en la selección de subcontratistas
Insuficiente oferta de subcontratistas competentes</t>
  </si>
  <si>
    <t>Insuficiente o falta de aplicación   criterios en la selección de subcontratistas</t>
  </si>
  <si>
    <t>El profesional del Grupo de Asistencia Técnica donde pertenece el proceso de ensayos de aptitud o a quien designe aplica en el caso que se realice una subcontratación de una actividad, la lista de chequeo M-05-F-019 según los lineamientos establecidos en el instructivo de subcontratación M-05-I-005.</t>
  </si>
  <si>
    <t>M02-R1</t>
  </si>
  <si>
    <t>(M-02)
Capacitación, Formación y Cultura Metrológica</t>
  </si>
  <si>
    <t>Posible afectación económica y reputacional, por no dictar las capacitaciones programadas, debido a fallas en la planificación y provisión de aspectos administrativos o técnicos requeridos, bajo responsabilidad del INM.</t>
  </si>
  <si>
    <t>Los cursos de capacitación no se dictan por situaciones fortuitas de resorte del INM.</t>
  </si>
  <si>
    <t>Cruce de actividades de responsables de laboratorio que afectan la realización de los cursos programados</t>
  </si>
  <si>
    <t>Mensualmente la Coordinadora del GGSM solicita al inicio de cada vigencia a los Subdirectores, la designación formal de al menos un (1) capacitador principal y un (1) suplente para cada uno de los cursos que forman parte de la oferta del INM. Una vez recibida la respuesta, se verifica que todos los cursos cuenten con capacitador principal y suplente. Lo anterior debe garantizar el cumplimiento de la programación anual de las capacitaciones.</t>
  </si>
  <si>
    <t>M02-R2</t>
  </si>
  <si>
    <t>Posible pérdida económica y reputacional por incumplimiento con características de calidad previstas como instalaciones, contenidos, competencia técnica de los instructores, debido a deficiencias en la adecuada planificación de los recursos técnicos y logísticos  para el desarrollo de los cursos de metrología y ausencia en la definición y verificación de las competencias técnicas por parte de los instructores</t>
  </si>
  <si>
    <t>Los cursos de capacitación no cumplen con características de calidad previstas como instalaciones, contenidos, competencia técnica de los instructores.</t>
  </si>
  <si>
    <t>Deficiencias en la adecuada planificación de los recursos técnicos y logísticos para el desarrollo de los cursos de metrología
Ausencia en la definición y verificación de las competencias técnicas por parte de los instructores.</t>
  </si>
  <si>
    <t>El mes de noviembre de la vigencia anterior la Coordinadora del GGSM envía un comunicado a las áreas responsables con la programación de los cursos para que estas mismas garanticen la provisión de los recursos, de acuerdo a su competencia.</t>
  </si>
  <si>
    <t>El mes de noviembre de la vigencia anterior la Coordinadora del GGSM envía un comunicado a las áreas responsables con la programación de los cursos para que estas mismas garanticen la provisión de los capacitadores, tanto principales como suplentes.</t>
  </si>
  <si>
    <t>M02-R3</t>
  </si>
  <si>
    <t>Posible pérdida económica y reputacional  por ofertar cursos que no obedecen a las necesidades del país en metrología, debido a  deficiencias en la actualización de la oferta del servicio de capacitación.</t>
  </si>
  <si>
    <t>Ofertar cursos que no obedecen a las necesidades del país en metrología.</t>
  </si>
  <si>
    <t>Deficiencias en la actualización de la oferta del servicio de capacitación.</t>
  </si>
  <si>
    <t>La Coordinadora del GGSM en el mes de noviembre de la vigencia anterior con base en el comportamiento de la demanda, revisa con el área técnica la oferta de los cursos y ajusta de acuerdo con dicho análisis.</t>
  </si>
  <si>
    <t>En caso de detectar que un curso no se esta vendiendo o esta desactualizado en su contenido, el área técnica gestiona su actualización o retiro de la oferta de servicios de capacitación.</t>
  </si>
  <si>
    <t>M06-R1</t>
  </si>
  <si>
    <t>(M-06)
Red Colombiana de Metrología</t>
  </si>
  <si>
    <t xml:space="preserve">Posibilidad de afectación reputacional debido a un bajo impacto sobre los integrantes de la RCM por parte de las actividades y espacios dispuestos y gestionados por la RCM, dado que dichas actividades no se diseñan teniendo en cuenta necesidades de los integrantes. </t>
  </si>
  <si>
    <t>Deficiencia en la planificación y logística de las actividades</t>
  </si>
  <si>
    <t>Actividades no se diseñan teniendo en cuenta necesidades de los integrantes de la RCM</t>
  </si>
  <si>
    <t>El profesional universitario grado 07, o a quien designe, en coordinación con las áreas técnicas del INM, aplica encuestas de identificación de necesidades en los diferentes espacios de la RCM. Registro: Encuestas diligenciadas.</t>
  </si>
  <si>
    <t>Insuficiente difusión de las actividades</t>
  </si>
  <si>
    <t>El profesional universitario grado 07, o a quien designe, solicita al proceso de comunicaciones la difusión de actividades a través de diferentes medios y canales del INM. Registro: Formato de solicitud de la comunicación.</t>
  </si>
  <si>
    <t xml:space="preserve">
Insuficiente personal capacitado para la ejecución de las actividades de la RCM
Insuficiente alcance en las regiones del país diferentes a Bogotá</t>
  </si>
  <si>
    <t>El profesional universitario grado 07 encargado de la coordinación de la Red Colombiana de Metrología, realiza gestión para la ejecución de actividades en otras regiones del país diferentes a Bogotá. Registro: Listas de asistencia en el caso de eventos o talleres y actas de las reuniones de los GTM, GTT y subredes sectoriales y temáticas.</t>
  </si>
  <si>
    <t>Desconocimiento por parte de la ciudadanía de la Red Colombiana de Metrología</t>
  </si>
  <si>
    <t>El profesional universitario grado 07, o a quien designe, efectúa una evaluación de satisfacción sobre las actividades de divulgación, como eventos y talleres, a los integrantes que participan de estos. Registro: Formato M-06- F-007 evaluación de las actividades de la RCM.</t>
  </si>
  <si>
    <t>M06-R2</t>
  </si>
  <si>
    <t>Posibilidad de afectación reputacional debido a la emisión de un documento técnico de la RCM que no cumpla requisitos establecidos dado por la inexistencia de lineamientos para la elaboración de documentos técnicos de la RCM.</t>
  </si>
  <si>
    <t>Desconocimiento del procedimiento M-06-P-001
Omisión del procedimiento M-06-P-001</t>
  </si>
  <si>
    <t>Inexistencia de lineamientos para la elaboración de documentos técnicos de la RCM</t>
  </si>
  <si>
    <t>El profesional universitario grado 07 socializa de manera periódica a los grupos de trabajo, el procedimiento M-06-P-001 o el que corresponda en dado caso. Registro: Acta de reunión.</t>
  </si>
  <si>
    <t>M06-R3</t>
  </si>
  <si>
    <t>Posibilidad de afectación reputacional debido a que la actividades en el marco de la USN no generan el impacto deseado de acuerdo con los requerimientos del país, por la inadecuada identificación de las necesidades de los sectores en temas de normalización</t>
  </si>
  <si>
    <t>Insuficiente seguimiento y control a las actividades de la USN</t>
  </si>
  <si>
    <t>Inadecuada identificación de la necesidad de normalización de los sectores.</t>
  </si>
  <si>
    <t xml:space="preserve">El profesional universitario grado 07 gestiona el cronograma de actividades establecido por los integrantes de la red de la Unidad Sectorial de Normalización. Dicho cronograma se elabora y se gestiona teniendo en cuenta las necesidades de los integrantes de la red de la USN. </t>
  </si>
  <si>
    <t>Pérdida de interés de los integrantes de la USN</t>
  </si>
  <si>
    <t>El profesional universitario grado 07, o quien designe, solicita al grupo de comunicaciones la divulgación o difusión de las actividades y productos de la Unidad Sectorial de Normalización en los canales de comunicación debidos. Registro: Formatos de solicitud de comunicación</t>
  </si>
  <si>
    <t>Insuficiente difusión sobre las actividades y productos de la USN</t>
  </si>
  <si>
    <t>El profesional universitario grado 07, en conjunto con el Comité Técnico Sectorial, integrado por entidades externas que son partes interesadas del sector metrológico, construyen un Plan de normalización basado en las necesidades identificadas y presentadas por los mismos integrantes. Registro: Documento de Plan de Normalización de la USN.</t>
  </si>
  <si>
    <t>Insuficiente planeación para la ejecución de las actividades de la USN
Insuficiente capacitación en temas de normalización</t>
  </si>
  <si>
    <t>El profesional universitario grado 07 y los contratistas que lideran los grupos de trabajo en normalización desde el INM, participan de actividades de capacitación prestadas por ICONTEC en metodologías de normalización en su función como Organismo Nacional de Normalización de Colombia. Registro: Listados de asistencia a las capacitaciones.</t>
  </si>
  <si>
    <t>M06-R4</t>
  </si>
  <si>
    <t xml:space="preserve">Posibilidad de afectación reputacional debido a la emisión de un documento normativo que no cumpla requisitos establecidos en el procedimiento M-06-P-004 de normalización, dada la insuficiente capacitación en temas de normalización por parte de los gestores. </t>
  </si>
  <si>
    <t>Desconocimiento del procedimiento M-06-P-004
Omisión del procedimiento M-06-P-004</t>
  </si>
  <si>
    <t>Insuficiente capacitación en temas de normalización por parte de los gestores</t>
  </si>
  <si>
    <t xml:space="preserve">El profesional universitario grado 07, o quien designe, realiza socialización del procedimiento M-06-P-004 de normalización ante el CTS. </t>
  </si>
  <si>
    <t xml:space="preserve">El profesional universitario grado 07 y los contratistas que lideran los grupos de trabajo en normalización desde el INM, participan de actividades de capacitación prestadas por ICONTEC en metodologías de normalización en su función como Organismo Nacional de Normalización de Colombia. Lo anterior con el fin de fortalecer el conocimiento por parte del INM en metodologías de normalización. Registro: Listados de asistencia a las capacitaciones. </t>
  </si>
  <si>
    <t>A01-R1</t>
  </si>
  <si>
    <t>(A-01)
Gestión Financiera</t>
  </si>
  <si>
    <t>Probabilidad de presentar cifras erradas en los Estados Financieros, además de recibir castigo en el PAC por no atención oportuna en el pago de obligaciones contractuales debido a desconocimiento del procedimiento para pagos e insuficiente cultura del autocontrol frente al cumplimiento estricto de los requisitos para efectuar pagos 
Frecuencia: En promedio se realizan 5001 pagos al año</t>
  </si>
  <si>
    <t>No atención oportuna en el pago de obligaciones contractuales</t>
  </si>
  <si>
    <t>Desconocimiento del procedimiento para pagos
Insuficiente cultura del autocontrol frente al cumplimiento estricto de los requisitos para efectuar pagos</t>
  </si>
  <si>
    <t>Financiero</t>
  </si>
  <si>
    <t>El Profesional Especializado con funciones de Tesorería solicita mensualmente por correo electrónico a todas las áreas ejecutoras de presupuesto la programación de pagos del mes siguiente (Evidencia: correo electrónico desde y hacia Tesorería.)</t>
  </si>
  <si>
    <t>El Coordinador del Grupo interno de trabajo de Gestión financiera socializa anualmente y cada vez que se emitan nuevas directrices, la circular que emite el Ministerio de Hacienda y Crédito Público (Directrices para cierre de vigencia y apertura para Nueva vigencia)</t>
  </si>
  <si>
    <t>El Funcionario encargado con funciones de contabilidad verifica uno a uno cada tramite para pago, revisando el cumplimiento de requisitos de acuerdo con lo establecido en el Procedimiento de pagos. (Evidencia: A-01-F-09 Control, recepción y pago de obligaciones presupuestales, Aplicativo SECOP (Procesos de contratación) y correo electrónico financiera@inm.gov.co (Acuerdo Marco de Precios), según corresponda.)</t>
  </si>
  <si>
    <t>A01-R2</t>
  </si>
  <si>
    <t>Probabilidad de presentar cifras erradas en el rubro de Ingresos operacionales en los Estados Financieros por inconsistencias o errores involuntarios en los reportes de información de lo efectivamente recaudado debido a la inexistencia de sistemas de información que permitan un procedimiento automatizado por cifras sub o sobre valoradas
Frecuencia: En promedio se presentan 12 informes de los estados financieros al año (1 mensual)</t>
  </si>
  <si>
    <t xml:space="preserve"> Inconsistencias o errores involuntarios en los reportes de información de lo efectivamente recaudado </t>
  </si>
  <si>
    <t>Inexistencia de sistemas de información que permitan un procedimiento automatizado.</t>
  </si>
  <si>
    <t>Tecnológico</t>
  </si>
  <si>
    <t xml:space="preserve">     Entre 100 y 500 SMLMV </t>
  </si>
  <si>
    <t xml:space="preserve">El Subdirector de Servicios Metrológicos y de Relación con el Ciudadano, el Coordinador del Grupo de Servicios Metrológicos y el profesional con funciones de Tesorería desarrollan sesiones mensuales de trabajo de verificación y cruce de la información, identificando de los recaudos recibidos por los servicios metrológicos cuales se encuentran prestados y pendientes por prestar, así como cuales recaudos no cuentan con documento de recibo oficial de caja por falta de soportes, de lo cual queda como registro de la conciliación el E-02-F-005 Acta de Reunión.
</t>
  </si>
  <si>
    <t>A01-R3</t>
  </si>
  <si>
    <t>Probabilidad de presentar cifras no acordes con la realidad en lo relacionado con la cuenta de Ingresos operacionales en los Estados Financieros por errores o inconsistencias con respecto a los ingresos reales de la cuenta de la entidad debido a la carencia de control y seguimiento al recaudo anticipado frente a la prestación de servicios y los contratos suscritos con entidades estatales.
Frecuencia: En promedio se presentan 12 informes de los estados financieros al año (1 mensual)</t>
  </si>
  <si>
    <t>Errores o Inconsistencias con respecto a los ingresos reales de la cuenta de la entidad.</t>
  </si>
  <si>
    <t>Carencia de control y seguimiento al recaudo anticipado frente a la prestación de servicios y los contratos suscritos con entidades estatales.</t>
  </si>
  <si>
    <t xml:space="preserve">El Subdirector de Servicios Metrológicos y de Relación con el Ciudadano, el Coordinador del Grupo de Servicios Metrológicos y el profesional con funciones de Tesorería desarrollan sesiones mensuales de trabajo de verificación y cruce de la información, identificando de los recaudos recibidos por los servicios metrológicos cuales se encuentran prestados y pendientes por prestar, así como cuales recaudos no cuentan con documento de recibo oficial de caja por falta de soportes, de lo cual queda como registro de la conciliación el E-02-F-005 Acta de Reunión.
En caso de evidenciar inconsistencias en la información el profesional con funciones de Tesorería informa al coordinador del Grupo de Gestión financiera la inconsistencia detectada para que este a su vez informe al Secretario General y al Director para toma de decisiones. 
</t>
  </si>
  <si>
    <t>A01-R4</t>
  </si>
  <si>
    <t>Probabilidad de presentar cifras no acordes con la realidad en lo relacionado con la cuenta de Propiedad, planta y Equipo en los Estados Financieros por errores o inconsistencias en la información con respecto a los inventarios físicos de la cuenta de la entidad debido a la carencia o reporte inoportuno del listado de bienes de acuerdo a la toma de inventario física realizada durante la vigencia o errores en el reporte de la información por parte de los responsables.
Frecuencia: En promedio se presentan 12 informes de los estados financieros al año (1 mensual)</t>
  </si>
  <si>
    <t>Errores o inconsistencias en la información con respecto a los inventarios físicos de la cuenta de la entidad</t>
  </si>
  <si>
    <t>Carencia o reporte inoportuno del listado de bienes de acuerdo a la toma de inventario física realizada durante la vigencia.</t>
  </si>
  <si>
    <t>El profesional con funciones de almacenista anualmente establece un cronograma de actividades para la toma de inventarios y se realizan las actividades según lo programado previniendo que se incumplan las fechas para la toma de inventario físico. En caso de detectar que no se cumple el cronograma, se reprograma la actividad pendiente. (Evidencia: A-05-F-070 Cronograma Levantamiento de inventario físico de bienes)</t>
  </si>
  <si>
    <t>El profesional con funciones de contador junto con El profesional con funciones de almacenista desarrollan la conciliación mensual de ingresos propios de acuerdo con lo establecido en el Procedimiento A-01-P-015 Conciliaciones Contables, con el fin de prevenir que los estados financieros contengan información errada frente a los activos. En caso de detectar faltantes o sobrantes en el inventario, se informa al área de almacén para revisión, ajuste y depuración de inconsistencias. Si se cumplen los plazos dados por la Contaduría, se deja la nota de salvedad en las Revelaciones y se escala al Equipo Transversal de Sostenibilidad Contable debidamente soportado y justificado para la toma de decisión correspondiente. (Evidencia: Notas en los estados financieros y hojas de trabajo que permanecen en contabilidad)</t>
  </si>
  <si>
    <t>A02-R1</t>
  </si>
  <si>
    <t>(A-02)
Defensa Judicial</t>
  </si>
  <si>
    <t>Probabilidad de afectación reputacional y presupuestal por falta de oportunidad y atención en los términos de ley debido a que el área responsable no allega a tiempo los documentos para dar respuesta o por pérdida de la información institucional</t>
  </si>
  <si>
    <t>Falta de oportunidad y atención en los términos de ley</t>
  </si>
  <si>
    <t>El área responsable no allega a tiempo los documentos para dar respuesta
Pérdida de la información institucional</t>
  </si>
  <si>
    <t>El Asesor de Dirección (funciones de cargo) , el Secretario General (función de Ley) o  profesionales en derecho (funciones del cargo), una vez conocida la existencia de algún proceso de alguna actuación judicial o extrajudicial requerirán mediante correo electrónico o memorando por sistema de radicación de la entidad al funcionario responsable de la información o custodio de la documentación la información peramente para dar respuesta de forma oportuna a la actuación judicial, estableciendo para el efecto términos o plazos de respuesta. De igual forma estas circunstancias se informan con respecto a los procesos judiciales al Comité de Conciliación o Defensa Judicial lo cual se documenta mediante las actas del Comité de Conciliación de la respectiva sesión o reunión</t>
  </si>
  <si>
    <t>El Asesor de Dirección, Secretaria General, o  profesionales en derecho (funciones del cargo)y Apoderados externos realizan el control y seguimiento de procesos a través de la consulta semanal de la plataforma de la Rama Judicial y de la plataforma ekogui 
Periodicidad: Semanal, en el caso de requerir mayor información se realiza visita presencial a juzgados o Tribunales, con el fin de mantener actualizados los procesos y atender oportunamente dentro de los términos de ley las respectivas actuaciones propias de cada proceso. Lo cual, se verá reflejado en la información que se reporta al portal ekogui y en la información que reporta la rama judicial en su portal. (Evidencia: Información registrada en el ekogui y en el portal de la Rama Judicial, Acta de Comité de Conciliación)</t>
  </si>
  <si>
    <t>A02-R2</t>
  </si>
  <si>
    <t>Posibilidad de pérdida reputacional por incumplir con la normatividad requerida para el adecuado desarrollo de las actividades debido al desconocimiento de las normas o legislación aplicable al proceso.</t>
  </si>
  <si>
    <t>Desconocimiento de las normas o legislación aplicable al proceso.</t>
  </si>
  <si>
    <t>El Asesor de Dirección, Secretaria General, funcionarios del Grupo de Gestión Jurídica con funciones de Representación judicial y apoderados externos (Si es el caso) realizan el control y seguimiento de procesos a través de la consulta semanal de la plataforma de la Rama Judicial y de la plataforma eKOGUI. 
Periodicidad: Semanal, en el caso de requerir mayor información se realiza visita presencial a juzgados o Tribunales o Altas Cortes, con el fin de mantener actualizados los procesos y atender oportunamente dentro de los términos de ley las respectivas actuaciones propias de cada proceso. Lo cual, se verá reflejado en la información que se reporta al portal eKOGUI y en la información que reporta la rama judicial en su portal. (Evidencia: Información registrada en el eKOGUI y en el portal de la Rama Judicial, Acta de Comité de Conciliación)</t>
  </si>
  <si>
    <t>A03-R1</t>
  </si>
  <si>
    <t>(A-03)
Gestión Documental</t>
  </si>
  <si>
    <t xml:space="preserve">Probabilidad de Incumplimiento a la normatividad vigente en cuanto a Gestión Documental debido a la falta de identificación oportuna de las actualizaciones en cuanto a normatividad relacionada con Gestión Documental
</t>
  </si>
  <si>
    <t xml:space="preserve"> Incumplimiento a la normatividad vigente en cuanto a Gestión Documental </t>
  </si>
  <si>
    <t>Falta de identificación oportuna de las actualizaciones en cuanto a normatividad relacionada con Gestión Documental</t>
  </si>
  <si>
    <t>El Profesional de Gestión Documental verifica las actualizaciones normativas del Archivo General de la Nación realizando la revisión de la Publicación de actualizaciones de norma en la página WEB del Archivo General de la Nación y actualizando la matriz de requisitos legales y otros requisitos de manera trimestral</t>
  </si>
  <si>
    <t>A03-R2</t>
  </si>
  <si>
    <t>Probabilidad de Pérdida de la información almacenada en el archivo central debido a deterioro por condiciones ambientales inadecuadas o extravío del documento o expediente por manejo inadecuado durante el préstamo de un documento</t>
  </si>
  <si>
    <t>Pérdida de la información almacenada en el archivo central</t>
  </si>
  <si>
    <t>Deterioro por condiciones ambientales inadecuadas o extravío del documento o expediente</t>
  </si>
  <si>
    <t xml:space="preserve">El Profesional de Gestión Documental controla según lo establecido en el documento A-03-D-002 Sistema integrado de conservación, las condiciones ambientales, plagas y demás factores que puedan afectar la integridad de los documentos o expediente que reposan en el archivo central, dejando como evidencia el certificado de la fumigación realizada, la planilla de aseo y la planilla de condiciones ambientales.
</t>
  </si>
  <si>
    <t>El Profesional de Gestión Documental controla cada vez que se solicite un préstamo de documento, la devolución oportuna e integra de los expedientes a través de la confirmación de los documentos prestados al momento de su devolución (folios, carpetas, etc.) haciendo uso del formato A-03-F-02 "Control Préstamo de Documentos" el cual es diligenciado en el momento de realizar el préstamo o devolución.</t>
  </si>
  <si>
    <t>A03-R3</t>
  </si>
  <si>
    <t>Probabilidad de almacenamiento inadecuado de la información debido a desconocimiento e incorrecta aplicación de las tablas de retención documental, por parte de los funcionarios y contratistas.</t>
  </si>
  <si>
    <t>Almacenamiento inadecuado de la información</t>
  </si>
  <si>
    <t>Desconocimiento e incorrecta aplicación de las tablas de retención documental, por parte de los funcionarios y contratistas.</t>
  </si>
  <si>
    <t xml:space="preserve">El Profesional de Gestión Documental revisa de manera semestral la aplicación TRD y el diligenciamiento de inventarios documentales. Adicionalmente, brinda capacitaciones en temas de gestión documental las cuales se encuentran incluidas en el Plan Institucional de Capacitación. (Registro: Cronograma de capacitación, Listados de asistencia y evaluaciones de capacitación)
</t>
  </si>
  <si>
    <t>A04-R1</t>
  </si>
  <si>
    <t>(A-04)
Gestión de Talento Humano</t>
  </si>
  <si>
    <t>Probabilidad de pérdida de la memoria laboral por extravío o pérdida física o digital del expediente de las historias laborales debido a condiciones de almacenamiento de los expedientes físicos inadecuadas y el no contar con un respaldo digital actualizado
PENDIENTE FORMULACIÓN</t>
  </si>
  <si>
    <t xml:space="preserve">Extravío o pérdida física o digital del expediente de las historias laborales </t>
  </si>
  <si>
    <t>Condiciones de almacenamiento de los expedientes físicos inadecuadas
No contar con un respaldo digital actualizado</t>
  </si>
  <si>
    <t>El Técnico Administrativo del Grupo interno de trabajo de Gestión del talento Humano semanalmente actualiza de manera física y digital las historias laborales dejando como evidencia de ello el registro en el cuadro de control -actualización de historias laborales (Archivo Excel) y la ruta digital (Z:\240 GTH\TRD 2020\240.125 HISTORIAS LABORALES)</t>
  </si>
  <si>
    <t>A04-R2</t>
  </si>
  <si>
    <t xml:space="preserve">Probabilidad de interposición de reclamos por parte de los funcionarios del INM por incumplimiento y/o presencia de inconsistencias en el pago de nómina debido a errores en el registro de novedades de nómina en el aplicativo establecido. </t>
  </si>
  <si>
    <t>Incumplimiento y/o presencia de inconsistencias en el pago de nómina</t>
  </si>
  <si>
    <t>Errores en el registro de novedades de nómina en el aplicativo establecido.</t>
  </si>
  <si>
    <t>El Profesional Especializado del Grupo de Gestión de Talento Humano revisa y válida mensualmente cada una de las novedades por servidor público, las cuales se encuentran de manera física y digital. Adicionalmente, una vez verificada la información registra las novedades en el aplicativo de Nómina. (Evidencia: Documento de Nómina)</t>
  </si>
  <si>
    <t>A04-R3</t>
  </si>
  <si>
    <t>Probabilidad de pérdida de la memoria institucional por fuga de conocimiento tácito o posible pérdida de conocimiento explícito debido a la aplicación de inadecuados mecanismos de entrega del cargo por parte del funcionario que se desvincula de la entidad o  la no socialización de temas que se generan a través de intercambios técnicos científicos.</t>
  </si>
  <si>
    <t>Fuga de conocimiento tácito o posible pérdida de conocimiento explícito</t>
  </si>
  <si>
    <t>Aplicación de inadecuados mecanismos de entrega del cargo por parte del funcionario que se desvincula de la entidad
No socialización de temas que se generan a través de intercambios técnicos científicos.</t>
  </si>
  <si>
    <t>El profesional de Talento Humano o el técnico Administrativo del Grupo de Gestión de Talento Humano cada vez que se desvincula un colaborador del INM comunica el acto administrativo de aceptación de renuncia al servidor público donde solicita diligenciar el Formato A-04-F-015 Acta de entrega de puesto de trabajo y A-04-F-014 Verificación de Entregables, registros en los cuales se busca dejar evidencia de la transferencia de conocimiento en cuanto a lo realizado en el desarrollo de sus funciones y la socialización al grupo de interés. (Evidencia: Formato A-04-F-015 Acta de entrega de puesto de trabajo y A-04-F-014 Verificación de Entregable)
El no transmitir el conocimiento adecuado para dar continuidad a la prestación del servicio, hará que el Jefe Inmediato solicité nuevamente llevar a cabo la corrección del acta y realizar nuevamente la socialización.</t>
  </si>
  <si>
    <t>El Profesional Especializado del Grupo de Gestión de Talento Humano cada vez que se presenta una comisión de transferencia de conocimiento técnico científico, realiza el respectivo seguimiento en lo relacionado con la socialización al grupo de interés de los temas adquiridos o generados en las comisiones conferidas para llevar a cabo intercambios técnicos científicos mediante el control y registro de las comisiones en la Matriz de comisiones de servicio o autorización de desplazamiento. (Evidencia: A-04-F-053 Matriz de comisiones de servicio o autorización de desplazamiento)
Si la socialización es evaluada como no efectiva por el Grupo de Interés, el Grupo de Gestión de Talento Humano, solicitará que se profundice de acuerdo a lo evidenciado en la evaluación</t>
  </si>
  <si>
    <t>A04-R4</t>
  </si>
  <si>
    <t xml:space="preserve">Posibilidad de pérdida económica y reputacional debido a la aplicación de las sanciones que correspondan por incumplimiento a la normatividad aplicable en seguridad y salud en el trabajo, debido a desconocimiento por parte de los profesionales dedicados al SG-SST o colaboradores en la aplicación de los lineamientos establecidos para la gestión del SG-SST, y/o falta de recursos. </t>
  </si>
  <si>
    <t>Insuficiente personal de apoyo para la gestión de las actividades del SG-SST.</t>
  </si>
  <si>
    <t>Desconocimiento por parte de los profesionales  dedicados al SG-SST o colaboradores en la aplicación de los lineamientos establecidos para la gestión del SG-SST, y/o falta de recursos.</t>
  </si>
  <si>
    <t xml:space="preserve">     Mayor a 500 SMLMV </t>
  </si>
  <si>
    <r>
      <rPr>
        <b/>
        <sz val="11"/>
        <color rgb="FF000000"/>
        <rFont val="Arial Narrow"/>
      </rPr>
      <t>Control 1:</t>
    </r>
    <r>
      <rPr>
        <sz val="11"/>
        <color rgb="FF000000"/>
        <rFont val="Arial Narrow"/>
      </rPr>
      <t xml:space="preserve"> Actualizar matriz de requisitos legales en Isolución
</t>
    </r>
    <r>
      <rPr>
        <b/>
        <sz val="11"/>
        <color rgb="FF000000"/>
        <rFont val="Arial Narrow"/>
      </rPr>
      <t>Responsable:</t>
    </r>
    <r>
      <rPr>
        <sz val="11"/>
        <color rgb="FF000000"/>
        <rFont val="Arial Narrow"/>
      </rPr>
      <t xml:space="preserve"> Profesional responsable del SG-SST 
</t>
    </r>
    <r>
      <rPr>
        <b/>
        <sz val="11"/>
        <color rgb="FF000000"/>
        <rFont val="Arial Narrow"/>
      </rPr>
      <t>¿Cómo se realiza la actividad de control?</t>
    </r>
    <r>
      <rPr>
        <sz val="11"/>
        <color rgb="FF000000"/>
        <rFont val="Arial Narrow"/>
      </rPr>
      <t xml:space="preserve">: Se actualiza la matriz de requisitos legales en Isolución, incluyendo los respectivos soportes de cumplimiento de las temáticas en SST. 
</t>
    </r>
    <r>
      <rPr>
        <b/>
        <sz val="11"/>
        <color rgb="FF000000"/>
        <rFont val="Arial Narrow"/>
      </rPr>
      <t xml:space="preserve">Propósito: </t>
    </r>
    <r>
      <rPr>
        <sz val="11"/>
        <color rgb="FF000000"/>
        <rFont val="Arial Narrow"/>
      </rPr>
      <t xml:space="preserve">Asegurar que el INM de cumplimiento a la normatividad legal vigente en materia de SST.
</t>
    </r>
    <r>
      <rPr>
        <b/>
        <sz val="11"/>
        <color rgb="FF000000"/>
        <rFont val="Arial Narrow"/>
      </rPr>
      <t>Periodicidad</t>
    </r>
    <r>
      <rPr>
        <sz val="11"/>
        <color rgb="FF000000"/>
        <rFont val="Arial Narrow"/>
      </rPr>
      <t xml:space="preserve">: Cuando se genere un cambio normativo. 
</t>
    </r>
    <r>
      <rPr>
        <b/>
        <sz val="11"/>
        <color rgb="FF000000"/>
        <rFont val="Arial Narrow"/>
      </rPr>
      <t>¿Qué pasa con las observaciones o desviaciones?:</t>
    </r>
    <r>
      <rPr>
        <sz val="11"/>
        <color rgb="FF000000"/>
        <rFont val="Arial Narrow"/>
      </rPr>
      <t xml:space="preserve"> En caso de identificar el incumplimiento al marco normativo, se establece las acciones de mejora respectivas para su cumplimiento.
En caso de falla del aplicativo Isolución durante la actualización de la matriz, informar el caso a OAP.
</t>
    </r>
    <r>
      <rPr>
        <b/>
        <sz val="11"/>
        <color rgb="FF000000"/>
        <rFont val="Arial Narrow"/>
      </rPr>
      <t xml:space="preserve">Evidencia de la ejecución del control: </t>
    </r>
    <r>
      <rPr>
        <sz val="11"/>
        <color rgb="FF000000"/>
        <rFont val="Arial Narrow"/>
      </rPr>
      <t xml:space="preserve">Matriz de requisitos legales actualizada en Isolución
</t>
    </r>
    <r>
      <rPr>
        <b/>
        <sz val="11"/>
        <color rgb="FF000000"/>
        <rFont val="Arial Narrow"/>
      </rPr>
      <t xml:space="preserve">Documentado: </t>
    </r>
    <r>
      <rPr>
        <sz val="11"/>
        <color rgb="FF000000"/>
        <rFont val="Arial Narrow"/>
      </rPr>
      <t>E-02-P-002 Gestión de requisitos legales y documentos externos</t>
    </r>
  </si>
  <si>
    <t>Sandra Milena Viviescas Vargas</t>
  </si>
  <si>
    <r>
      <rPr>
        <b/>
        <sz val="11"/>
        <color rgb="FF000000"/>
        <rFont val="Arial Narrow"/>
      </rPr>
      <t>Control 2</t>
    </r>
    <r>
      <rPr>
        <sz val="11"/>
        <color rgb="FF000000"/>
        <rFont val="Arial Narrow"/>
      </rPr>
      <t xml:space="preserve"> : Registrar el seguimiento a la matriz de requisitos legales. 
</t>
    </r>
    <r>
      <rPr>
        <b/>
        <sz val="11"/>
        <color rgb="FF000000"/>
        <rFont val="Arial Narrow"/>
      </rPr>
      <t>Responsable</t>
    </r>
    <r>
      <rPr>
        <sz val="11"/>
        <color rgb="FF000000"/>
        <rFont val="Arial Narrow"/>
      </rPr>
      <t xml:space="preserve">: Profesional responsable del SG-SST 
</t>
    </r>
    <r>
      <rPr>
        <b/>
        <sz val="11"/>
        <color rgb="FF000000"/>
        <rFont val="Arial Narrow"/>
      </rPr>
      <t>¿Cómo se realiza la actividad de control?</t>
    </r>
    <r>
      <rPr>
        <sz val="11"/>
        <color rgb="FF000000"/>
        <rFont val="Arial Narrow"/>
      </rPr>
      <t xml:space="preserve">: hace la revisión y/o actualización del marco normativo tomando como base la información de las entidades externas que emiten nuevos lineamientos en materia legal.
</t>
    </r>
    <r>
      <rPr>
        <b/>
        <sz val="11"/>
        <color rgb="FF000000"/>
        <rFont val="Arial Narrow"/>
      </rPr>
      <t>Propósito</t>
    </r>
    <r>
      <rPr>
        <sz val="11"/>
        <color rgb="FF000000"/>
        <rFont val="Arial Narrow"/>
      </rPr>
      <t xml:space="preserve">: asegurar que el INM de cumplimiento a la normatividad legal vigente en materia de SST.
</t>
    </r>
    <r>
      <rPr>
        <b/>
        <sz val="11"/>
        <color rgb="FF000000"/>
        <rFont val="Arial Narrow"/>
      </rPr>
      <t>Periodicidad:</t>
    </r>
    <r>
      <rPr>
        <sz val="11"/>
        <color rgb="FF000000"/>
        <rFont val="Arial Narrow"/>
      </rPr>
      <t xml:space="preserve"> cada seis meses se realiza la revisión del marco normativo o cuando se genere un cambio. 
</t>
    </r>
    <r>
      <rPr>
        <b/>
        <sz val="11"/>
        <color rgb="FF000000"/>
        <rFont val="Arial Narrow"/>
      </rPr>
      <t>¿Qué pasa con las observaciones o desviaciones?:</t>
    </r>
    <r>
      <rPr>
        <sz val="11"/>
        <color rgb="FF000000"/>
        <rFont val="Arial Narrow"/>
      </rPr>
      <t xml:space="preserve"> En caso de no llegar a realizar la revisión deberá efectuarse a la mayor brevedad.
</t>
    </r>
    <r>
      <rPr>
        <b/>
        <sz val="11"/>
        <color rgb="FF000000"/>
        <rFont val="Arial Narrow"/>
      </rPr>
      <t>Evidencia de la ejecución del control:</t>
    </r>
    <r>
      <rPr>
        <sz val="11"/>
        <color rgb="FF000000"/>
        <rFont val="Arial Narrow"/>
      </rPr>
      <t xml:space="preserve"> E-02-F-043 Seguimiento a Requisitos legales y documentos externos. 
</t>
    </r>
    <r>
      <rPr>
        <b/>
        <sz val="11"/>
        <color rgb="FF000000"/>
        <rFont val="Arial Narrow"/>
      </rPr>
      <t>Documentado:</t>
    </r>
    <r>
      <rPr>
        <sz val="11"/>
        <color rgb="FF000000"/>
        <rFont val="Arial Narrow"/>
      </rPr>
      <t xml:space="preserve"> E-02-P-002 Gestión de requisitos legales y documentos externos</t>
    </r>
  </si>
  <si>
    <r>
      <rPr>
        <b/>
        <sz val="11"/>
        <color rgb="FF000000"/>
        <rFont val="Arial Narrow"/>
      </rPr>
      <t>Control 3</t>
    </r>
    <r>
      <rPr>
        <sz val="11"/>
        <color rgb="FF000000"/>
        <rFont val="Arial Narrow"/>
      </rPr>
      <t xml:space="preserve">: Solicitar recursos para el cumplimiento de actividades del SG-SST en el anteproyecto de presupuesto.
</t>
    </r>
    <r>
      <rPr>
        <b/>
        <sz val="11"/>
        <color rgb="FF000000"/>
        <rFont val="Arial Narrow"/>
      </rPr>
      <t>Responsable</t>
    </r>
    <r>
      <rPr>
        <sz val="11"/>
        <color rgb="FF000000"/>
        <rFont val="Arial Narrow"/>
      </rPr>
      <t xml:space="preserve">: Profesional responsable del SG-SST 
</t>
    </r>
    <r>
      <rPr>
        <b/>
        <sz val="11"/>
        <color rgb="FF000000"/>
        <rFont val="Arial Narrow"/>
      </rPr>
      <t>¿Cómo se realiza la actividad de control?</t>
    </r>
    <r>
      <rPr>
        <sz val="11"/>
        <color rgb="FF000000"/>
        <rFont val="Arial Narrow"/>
      </rPr>
      <t xml:space="preserve">: Al elaborar la solicitud de recursos en el anteproyecto de presupuesto para desarrollar las actividades en el marco del plan de SST, verificar que todas las necesidades queden cubiertas.
</t>
    </r>
    <r>
      <rPr>
        <b/>
        <sz val="11"/>
        <color rgb="FF000000"/>
        <rFont val="Arial Narrow"/>
      </rPr>
      <t>Propósito</t>
    </r>
    <r>
      <rPr>
        <sz val="11"/>
        <color rgb="FF000000"/>
        <rFont val="Arial Narrow"/>
      </rPr>
      <t xml:space="preserve">: Asegurar que las necesidades de recursos queden identificadas.
</t>
    </r>
    <r>
      <rPr>
        <b/>
        <sz val="11"/>
        <color rgb="FF000000"/>
        <rFont val="Arial Narrow"/>
      </rPr>
      <t>Periodicidad</t>
    </r>
    <r>
      <rPr>
        <sz val="11"/>
        <color rgb="FF000000"/>
        <rFont val="Arial Narrow"/>
      </rPr>
      <t xml:space="preserve">: Anual
</t>
    </r>
    <r>
      <rPr>
        <b/>
        <sz val="11"/>
        <color rgb="FF000000"/>
        <rFont val="Arial Narrow"/>
      </rPr>
      <t>¿Qué pasa con las observaciones o desviaciones?</t>
    </r>
    <r>
      <rPr>
        <sz val="11"/>
        <color rgb="FF000000"/>
        <rFont val="Arial Narrow"/>
      </rPr>
      <t xml:space="preserve">: En caso de no recibir la notificación oportuna de la presentación de la solicitud de recursos, contar con la información de las necesidades en el primer bimestre del año.
</t>
    </r>
    <r>
      <rPr>
        <b/>
        <sz val="11"/>
        <color rgb="FF000000"/>
        <rFont val="Arial Narrow"/>
      </rPr>
      <t xml:space="preserve">Evidencia de la ejecución del control: </t>
    </r>
    <r>
      <rPr>
        <sz val="11"/>
        <color rgb="FF000000"/>
        <rFont val="Arial Narrow"/>
      </rPr>
      <t xml:space="preserve">Solicitud de recursos para el SST en el anteproyecto de presupuesto de la vigencia.
</t>
    </r>
    <r>
      <rPr>
        <b/>
        <sz val="11"/>
        <color rgb="FF000000"/>
        <rFont val="Arial Narrow"/>
      </rPr>
      <t>Documentado:</t>
    </r>
    <r>
      <rPr>
        <sz val="11"/>
        <color rgb="FF000000"/>
        <rFont val="Arial Narrow"/>
      </rPr>
      <t xml:space="preserve"> A-05-P-016 PLAN ANUAL DE ADQUISICIONES</t>
    </r>
  </si>
  <si>
    <r>
      <rPr>
        <b/>
        <sz val="11"/>
        <color rgb="FF000000"/>
        <rFont val="Arial Narrow"/>
      </rPr>
      <t>Control 4</t>
    </r>
    <r>
      <rPr>
        <sz val="11"/>
        <color rgb="FF000000"/>
        <rFont val="Arial Narrow"/>
      </rPr>
      <t xml:space="preserve">:  Solicitar recursos para el cumplimiento de actividades del SG-SST posterior a la asignación de presupuesto al INM.
</t>
    </r>
    <r>
      <rPr>
        <b/>
        <sz val="11"/>
        <color rgb="FF000000"/>
        <rFont val="Arial Narrow"/>
      </rPr>
      <t xml:space="preserve">Responsable: </t>
    </r>
    <r>
      <rPr>
        <sz val="11"/>
        <color rgb="FF000000"/>
        <rFont val="Arial Narrow"/>
      </rPr>
      <t xml:space="preserve">Profesional responsable del SG-SST 
</t>
    </r>
    <r>
      <rPr>
        <b/>
        <sz val="11"/>
        <color rgb="FF000000"/>
        <rFont val="Arial Narrow"/>
      </rPr>
      <t>¿Cómo se realiza la actividad de control?:</t>
    </r>
    <r>
      <rPr>
        <sz val="11"/>
        <color rgb="FF000000"/>
        <rFont val="Arial Narrow"/>
      </rPr>
      <t xml:space="preserve"> Realizar la solicitud de recursos a Secretaría General en el mes de diciembre para atender las necesidades del SG-SST y realizar seguimiento a su asignación en el PAA de la siguiente vigencia.
</t>
    </r>
    <r>
      <rPr>
        <b/>
        <sz val="11"/>
        <color rgb="FF000000"/>
        <rFont val="Arial Narrow"/>
      </rPr>
      <t xml:space="preserve">Propósito: </t>
    </r>
    <r>
      <rPr>
        <sz val="11"/>
        <color rgb="FF000000"/>
        <rFont val="Arial Narrow"/>
      </rPr>
      <t xml:space="preserve">Garantizar que las necesidades del SG-SST sean atendidas en la asignación de recursos.
</t>
    </r>
    <r>
      <rPr>
        <b/>
        <sz val="11"/>
        <color rgb="FF000000"/>
        <rFont val="Arial Narrow"/>
      </rPr>
      <t>Periodicidad:</t>
    </r>
    <r>
      <rPr>
        <sz val="11"/>
        <color rgb="FF000000"/>
        <rFont val="Arial Narrow"/>
      </rPr>
      <t xml:space="preserve"> Anual
</t>
    </r>
    <r>
      <rPr>
        <b/>
        <sz val="11"/>
        <color rgb="FF000000"/>
        <rFont val="Arial Narrow"/>
      </rPr>
      <t>¿Qué pasa con las observaciones o desviaciones?:</t>
    </r>
    <r>
      <rPr>
        <sz val="11"/>
        <color rgb="FF000000"/>
        <rFont val="Arial Narrow"/>
      </rPr>
      <t xml:space="preserve"> si no es aprobada la propuesta total de recursos para el SG-SST, debe establecer prioridades en cuanto a las actividades a desarrollar con el presupuesto asignado.
</t>
    </r>
    <r>
      <rPr>
        <b/>
        <sz val="11"/>
        <color rgb="FF000000"/>
        <rFont val="Arial Narrow"/>
      </rPr>
      <t>Evidencia de la ejecución del control:</t>
    </r>
    <r>
      <rPr>
        <sz val="11"/>
        <color rgb="FF000000"/>
        <rFont val="Arial Narrow"/>
      </rPr>
      <t xml:space="preserve"> Solicitud de recursos y seguimiento a la misma para ejecutar las actividades del SG-SST.
</t>
    </r>
    <r>
      <rPr>
        <b/>
        <sz val="11"/>
        <color rgb="FF000000"/>
        <rFont val="Arial Narrow"/>
      </rPr>
      <t>Documentado:</t>
    </r>
    <r>
      <rPr>
        <sz val="11"/>
        <color rgb="FF000000"/>
        <rFont val="Arial Narrow"/>
      </rPr>
      <t xml:space="preserve"> A-05-P-016 PLAN ANUAL DE ADQUISICIONES</t>
    </r>
  </si>
  <si>
    <r>
      <rPr>
        <b/>
        <sz val="11"/>
        <color rgb="FF000000"/>
        <rFont val="Arial Narrow"/>
      </rPr>
      <t>Control 5:</t>
    </r>
    <r>
      <rPr>
        <sz val="11"/>
        <color rgb="FF000000"/>
        <rFont val="Arial Narrow"/>
      </rPr>
      <t xml:space="preserve"> Revisar y actualizar matriz de peligros, valoración y evaluación de riesgos.
</t>
    </r>
    <r>
      <rPr>
        <b/>
        <sz val="11"/>
        <color rgb="FF000000"/>
        <rFont val="Arial Narrow"/>
      </rPr>
      <t>Responsable</t>
    </r>
    <r>
      <rPr>
        <sz val="11"/>
        <color rgb="FF000000"/>
        <rFont val="Arial Narrow"/>
      </rPr>
      <t xml:space="preserve">: Profesional responsable del SG-SST
</t>
    </r>
    <r>
      <rPr>
        <b/>
        <sz val="11"/>
        <color rgb="FF000000"/>
        <rFont val="Arial Narrow"/>
      </rPr>
      <t>¿Cómo se realiza la actividad de control?:</t>
    </r>
    <r>
      <rPr>
        <sz val="11"/>
        <color rgb="FF000000"/>
        <rFont val="Arial Narrow"/>
      </rPr>
      <t xml:space="preserve">  Revisar y actualizar cuando aplique, la Matriz de Identificación de peligros, valoración y evaluación de riesgos  de acuerdo a la metodología establecida en el procedimiento A-04-P-010.
</t>
    </r>
    <r>
      <rPr>
        <b/>
        <sz val="11"/>
        <color rgb="FF000000"/>
        <rFont val="Arial Narrow"/>
      </rPr>
      <t>Propósito:</t>
    </r>
    <r>
      <rPr>
        <sz val="11"/>
        <color rgb="FF000000"/>
        <rFont val="Arial Narrow"/>
      </rPr>
      <t xml:space="preserve"> Asegurar que se realice la adecuada evaluación de todos los riesgos y peligros con la valoración de sus controles.
</t>
    </r>
    <r>
      <rPr>
        <b/>
        <sz val="11"/>
        <color rgb="FF000000"/>
        <rFont val="Arial Narrow"/>
      </rPr>
      <t>Periodicidad:</t>
    </r>
    <r>
      <rPr>
        <sz val="11"/>
        <color rgb="FF000000"/>
        <rFont val="Arial Narrow"/>
      </rPr>
      <t xml:space="preserve"> Anual
</t>
    </r>
    <r>
      <rPr>
        <b/>
        <sz val="11"/>
        <color rgb="FF000000"/>
        <rFont val="Arial Narrow"/>
      </rPr>
      <t>¿Qué pasa con las observaciones o desviaciones?:</t>
    </r>
    <r>
      <rPr>
        <sz val="11"/>
        <color rgb="FF000000"/>
        <rFont val="Arial Narrow"/>
      </rPr>
      <t xml:space="preserve"> en caso de encontrar materialización de un riesgo o peligro y que no se cuente con recurso, se debe proceder a generar alertas de la necesidad ante la secretaría general del INM, debido al impacto que puede generar esta materialización.
</t>
    </r>
    <r>
      <rPr>
        <b/>
        <sz val="11"/>
        <color rgb="FF000000"/>
        <rFont val="Arial Narrow"/>
      </rPr>
      <t>Evidencia de la ejecución del control:</t>
    </r>
    <r>
      <rPr>
        <sz val="11"/>
        <color rgb="FF000000"/>
        <rFont val="Arial Narrow"/>
      </rPr>
      <t xml:space="preserve"> Control de cambios en  A-04-F-038 Matriz de Identificación de peligros, valoración y evaluación de riesgos.
Correo electrónico de las alertas generadas a la secretaría general.
Documentado: A-04-P-010 IDENTIFICACIÓN DE PELIGROS, VALORACIÓN DEL RIESGO Y DETERMINACIÓN DE CONTROLES</t>
    </r>
  </si>
  <si>
    <t>Cumplimiento de actividades desarrolladas según el plan de trabajo de SST</t>
  </si>
  <si>
    <r>
      <rPr>
        <b/>
        <sz val="11"/>
        <color rgb="FF000000"/>
        <rFont val="Arial Narrow"/>
      </rPr>
      <t>Control 6</t>
    </r>
    <r>
      <rPr>
        <sz val="11"/>
        <color rgb="FF000000"/>
        <rFont val="Arial Narrow"/>
      </rPr>
      <t xml:space="preserve">: Ejecutar el cronograma de actividades del COPASST.
</t>
    </r>
    <r>
      <rPr>
        <b/>
        <sz val="11"/>
        <color rgb="FF000000"/>
        <rFont val="Arial Narrow"/>
      </rPr>
      <t>Responsable:</t>
    </r>
    <r>
      <rPr>
        <sz val="11"/>
        <color rgb="FF000000"/>
        <rFont val="Arial Narrow"/>
      </rPr>
      <t xml:space="preserve"> Presidente del COPASST
</t>
    </r>
    <r>
      <rPr>
        <b/>
        <sz val="11"/>
        <color rgb="FF000000"/>
        <rFont val="Arial Narrow"/>
      </rPr>
      <t>¿Cómo se realiza la actividad de control?:</t>
    </r>
    <r>
      <rPr>
        <sz val="11"/>
        <color rgb="FF000000"/>
        <rFont val="Arial Narrow"/>
      </rPr>
      <t xml:space="preserve"> planificar, ejecutar y rendir cuentas sobre el cronograma de actividades, generar hallazgos y recomendaciones de las inspecciones  y hacer el seguimiento a la gestión de acuerdo con el procedimiento A-04-P-017 Inspecciones de Seguridad y Salud en el Trabajo y Gestión Ambiental.
</t>
    </r>
    <r>
      <rPr>
        <b/>
        <sz val="11"/>
        <color rgb="FF000000"/>
        <rFont val="Arial Narrow"/>
      </rPr>
      <t>Propósito</t>
    </r>
    <r>
      <rPr>
        <sz val="11"/>
        <color rgb="FF000000"/>
        <rFont val="Arial Narrow"/>
      </rPr>
      <t xml:space="preserve">: Coordinar todo lo necesario para la buena marcha del comité.
</t>
    </r>
    <r>
      <rPr>
        <b/>
        <sz val="11"/>
        <color rgb="FF000000"/>
        <rFont val="Arial Narrow"/>
      </rPr>
      <t>Periodicidad:</t>
    </r>
    <r>
      <rPr>
        <sz val="11"/>
        <color rgb="FF000000"/>
        <rFont val="Arial Narrow"/>
      </rPr>
      <t xml:space="preserve"> Trimestral
</t>
    </r>
    <r>
      <rPr>
        <b/>
        <sz val="11"/>
        <color rgb="FF000000"/>
        <rFont val="Arial Narrow"/>
      </rPr>
      <t>¿Qué pasa con las observaciones o desviaciones?:</t>
    </r>
    <r>
      <rPr>
        <sz val="11"/>
        <color rgb="FF000000"/>
        <rFont val="Arial Narrow"/>
      </rPr>
      <t xml:space="preserve"> En caso de que un hallazgo sea reiterativo y no se hayan realizado las actividades establecidas para dar corrección, se debe realizar una mesa de trabajo con el responsable del hallazgo y con el subdirector, jefe de dependencia o coordinador a la que pertenece; con el fin de garantizar gestión adecuada de la corrección.
</t>
    </r>
    <r>
      <rPr>
        <b/>
        <sz val="11"/>
        <color rgb="FF000000"/>
        <rFont val="Arial Narrow"/>
      </rPr>
      <t>Evidencia de la ejecución del control:</t>
    </r>
    <r>
      <rPr>
        <sz val="11"/>
        <color rgb="FF000000"/>
        <rFont val="Arial Narrow"/>
      </rPr>
      <t xml:space="preserve"> Registro de verificación de los formatos A-05-F-031 Lista de Inspección Ambiental y de Seguridad y Salud en el Trabajo, E-02-F-011 Modelo de informe, Informe de rendición de cuentas, E-02-F-005 Acta de Reunión.
</t>
    </r>
    <r>
      <rPr>
        <b/>
        <sz val="11"/>
        <color rgb="FF000000"/>
        <rFont val="Arial Narrow"/>
      </rPr>
      <t>Documentado:</t>
    </r>
    <r>
      <rPr>
        <sz val="11"/>
        <color rgb="FF000000"/>
        <rFont val="Arial Narrow"/>
      </rPr>
      <t xml:space="preserve"> A-04-P-018 CONFORMACIÓN Y FUNCIONAMIENTO DEL COMITÉ PARITARIO DE SEGURIDAD Y SALUD EN EL TRABAJO - COPASST.</t>
    </r>
  </si>
  <si>
    <r>
      <rPr>
        <b/>
        <sz val="11"/>
        <color theme="1"/>
        <rFont val="Arial Narrow"/>
        <family val="2"/>
      </rPr>
      <t>Control 7</t>
    </r>
    <r>
      <rPr>
        <sz val="11"/>
        <color theme="1"/>
        <rFont val="Arial Narrow"/>
        <family val="2"/>
      </rPr>
      <t xml:space="preserve">: Realizar seguimiento al cumplimiento del plan anual de trabajo del SG-SST.
</t>
    </r>
    <r>
      <rPr>
        <b/>
        <sz val="11"/>
        <color theme="1"/>
        <rFont val="Arial Narrow"/>
        <family val="2"/>
      </rPr>
      <t>Responsable</t>
    </r>
    <r>
      <rPr>
        <sz val="11"/>
        <color theme="1"/>
        <rFont val="Arial Narrow"/>
        <family val="2"/>
      </rPr>
      <t xml:space="preserve">: Profesional responsable del SG-SST.
</t>
    </r>
    <r>
      <rPr>
        <b/>
        <sz val="11"/>
        <color theme="1"/>
        <rFont val="Arial Narrow"/>
        <family val="2"/>
      </rPr>
      <t>¿Cómo se realiza la actividad de control?</t>
    </r>
    <r>
      <rPr>
        <sz val="11"/>
        <color theme="1"/>
        <rFont val="Arial Narrow"/>
        <family val="2"/>
      </rPr>
      <t xml:space="preserve">: Hace seguimiento al cumplimiento del plan anual de trabajo del SG-SST, con el apoyo de la ARL y la intermediaria a través de las reuniones mensuales en donde se planifica la ejecución de las actividades establecidas en el cronograma.
</t>
    </r>
    <r>
      <rPr>
        <b/>
        <sz val="11"/>
        <color theme="1"/>
        <rFont val="Arial Narrow"/>
        <family val="2"/>
      </rPr>
      <t>Propósito</t>
    </r>
    <r>
      <rPr>
        <sz val="11"/>
        <color theme="1"/>
        <rFont val="Arial Narrow"/>
        <family val="2"/>
      </rPr>
      <t xml:space="preserve">: Asegurar el cumplimiento de actividades propuestas en el plan anual de trabajo del SG-SST.
</t>
    </r>
    <r>
      <rPr>
        <b/>
        <sz val="11"/>
        <color theme="1"/>
        <rFont val="Arial Narrow"/>
        <family val="2"/>
      </rPr>
      <t>Periodicidad:</t>
    </r>
    <r>
      <rPr>
        <sz val="11"/>
        <color theme="1"/>
        <rFont val="Arial Narrow"/>
        <family val="2"/>
      </rPr>
      <t xml:space="preserve"> Mensual.
</t>
    </r>
    <r>
      <rPr>
        <b/>
        <sz val="11"/>
        <color theme="1"/>
        <rFont val="Arial Narrow"/>
        <family val="2"/>
      </rPr>
      <t>¿Qué pasa con las observaciones o desviaciones?:</t>
    </r>
    <r>
      <rPr>
        <sz val="11"/>
        <color theme="1"/>
        <rFont val="Arial Narrow"/>
        <family val="2"/>
      </rPr>
      <t xml:space="preserve"> En caso de evidenciar el posible incumplimiento de actividades, acordar la reprogramación de éstas, de manera tal que la reprogramación conlleve a un mínimo impacto.
</t>
    </r>
    <r>
      <rPr>
        <b/>
        <sz val="11"/>
        <color theme="1"/>
        <rFont val="Arial Narrow"/>
        <family val="2"/>
      </rPr>
      <t>Evidencia de la ejecución del control:</t>
    </r>
    <r>
      <rPr>
        <sz val="11"/>
        <color theme="1"/>
        <rFont val="Arial Narrow"/>
        <family val="2"/>
      </rPr>
      <t xml:space="preserve"> Actas de reunión, Informes de actividades,  Solicitudes a través de correo electrónico en informe anual por parte de la ARL.
</t>
    </r>
    <r>
      <rPr>
        <b/>
        <sz val="11"/>
        <color theme="1"/>
        <rFont val="Arial Narrow"/>
        <family val="2"/>
      </rPr>
      <t>Documentado</t>
    </r>
    <r>
      <rPr>
        <sz val="11"/>
        <color theme="1"/>
        <rFont val="Arial Narrow"/>
        <family val="2"/>
      </rPr>
      <t>: A-04-P-018 CONFORMACIÓN Y FUNCIONAMIENTO DEL COMITÉ PARITARIO DE SEGURIDAD Y SALUD EN EL TRABAJO - COPASST.</t>
    </r>
  </si>
  <si>
    <t>A05-R1</t>
  </si>
  <si>
    <t>(A-05)
Gestión Administrativa</t>
  </si>
  <si>
    <t>Posibilidad de deterioro de los equipos y de la infraestructura de la entidad por imposibilidad del funcionamiento de los equipos eléctricos, planta física y de climatización debido a recorte presupuestal.</t>
  </si>
  <si>
    <t>Imposibilidad del funcionamiento de los equipos eléctricos, planta física y de climatización</t>
  </si>
  <si>
    <t>Recorte presupuestal</t>
  </si>
  <si>
    <t xml:space="preserve">El profesional responsable del mantenimiento de la sede gestiona la contratación y supervisa los mantenimientos preventivos disminuyendo la probabilidad de falla en los equipos por medio de la programación y ejecución de mantenimiento preventivo, a través del diseño de especificaciones técnicas con base en las actividades mínimas de mantenimiento preventivo que recomienda cada fabricante y las recomendaciones y observaciones reportadas en los mantenimientos recientes, las cuales son la base para la elaboración de estudios de mercado, estudios previos e iniciar el proceso de contratación. Una vez firmada el acta de inicio se supervisa la ejecución de las actividades de mantenimiento conforme a los requerimientos técnicos.
Cuando los procesos contractuales con objeto relacionado al mantenimiento de equipos se declaran desiertos se realiza un análisis de causas, se revisa que el estudio de mercado este vigente y se radica nuevamente el proceso de contratación con los ajustes necesarios. 
Si la no ejecución del mantenimiento afecta la integridad del personal y la operatividad del INM se informa al Secretario General y la coordinación del Grupo de Gestión de Servicios Administrativos para la toma de decisiones y medidas necesarias. 
En el evento de no poder atenderse la necesidad por medio de contratación pública, se acudirá a la caja menor por el carácter de urgencia de dicha necesidad. 
(Evidencia: Hojas de vida de los equipos e informes finales de contratistas.) 
</t>
  </si>
  <si>
    <t>El Profesional responsable del mantenimiento de la sede garantiza la ejecución de reuniones con el Secretario General (Gerente del Proyecto de Inversión) para verificar el cumplimiento del cronograma de mantenimiento preventivo vigente. Así mismo, informar los avances de las actividades programadas de acuerdo a los recursos disponibles y bloqueos presupuestales que se puedan presentar en la vigencia, igualmente para que se defina la priorización de los mismos, teniendo en cuenta la periodicidad de los mantenimientos y necesidades de las áreas del Instituto y genera un acta de reunión.
Adicionalmente, Se pretende abordar en las reuniones, cuando aplique, la solución frente a las necesidades generadas por deterioros sufridos en los equipos eléctricos, planta física y climatización de la entidad por el uso y paso de los años. En el evento de no poder atenderse la necesidad por medio de contratación pública, se acudirá a la caja menor por el carácter de urgencia de la necesidad.</t>
  </si>
  <si>
    <t>A05-R2</t>
  </si>
  <si>
    <t>Probabilidad de presentación de cifras erradas en los Estados Financieros por errores involuntarios en el registro de la información u omisión de bienes en la verificación del inventario físico debido a la inexistencia de un medio digital o un software para la administración de bienes devolutivos.</t>
  </si>
  <si>
    <t>Errores involuntarios en el registro de la información u omisión de bienes en la verificación del inventario físico</t>
  </si>
  <si>
    <t>Inexistencia de un medio digital o un software para la administración de bienes devolutivos.</t>
  </si>
  <si>
    <t>El Profesional con funciones de almacenista revisa los inventarios Individualizados según cronograma, mediante verificación física y haciendo uso del formato A-05-F-065 Comprobante de Inventario por funcionario y en caso de aplicar actualiza el formato A-05-F-062 Listado General de Activos. En el evento de no poder realizar la revisión por ausencia del funcionario o contratista se reprograma la fecha de revisión. (Evidencia: Formatos A-05-F-071 Comprobante de verificación de inventario, A-05-F-065 Comprobante de Inventario por funcionario y formato A-05-F-062 Listado General de Activos diligenciados)</t>
  </si>
  <si>
    <t>A05-R3</t>
  </si>
  <si>
    <t>Posibilidad de pérdida económica o reputacional debido a la aplicación de las sanciones que correspondan por incumplimiento a la normatividad ambiental aplicable debido al desconocimiento por parte de los colaboradores de los lineamientos establecidos para la gestión ambiental</t>
  </si>
  <si>
    <t xml:space="preserve">Falta de recursos.
Inadecuada formulación del plan de acción ambiental. </t>
  </si>
  <si>
    <t>Desconocimiento por parte de los colaboradores de los lineamientos establecidos para la gestión ambiental</t>
  </si>
  <si>
    <r>
      <rPr>
        <b/>
        <sz val="11"/>
        <color theme="1"/>
        <rFont val="Arial Narrow"/>
        <family val="2"/>
      </rPr>
      <t xml:space="preserve">Control 1 </t>
    </r>
    <r>
      <rPr>
        <sz val="11"/>
        <color theme="1"/>
        <rFont val="Arial Narrow"/>
        <family val="2"/>
      </rPr>
      <t xml:space="preserve">: Identificar los requisitos legales y otros requisitos ambientales aplicables. 
</t>
    </r>
    <r>
      <rPr>
        <b/>
        <sz val="11"/>
        <color theme="1"/>
        <rFont val="Arial Narrow"/>
        <family val="2"/>
      </rPr>
      <t>Responsable:</t>
    </r>
    <r>
      <rPr>
        <sz val="11"/>
        <color theme="1"/>
        <rFont val="Arial Narrow"/>
        <family val="2"/>
      </rPr>
      <t xml:space="preserve"> Profesional Universitario Líder de la Gestión Ambiental.
</t>
    </r>
    <r>
      <rPr>
        <b/>
        <sz val="11"/>
        <color theme="1"/>
        <rFont val="Arial Narrow"/>
        <family val="2"/>
      </rPr>
      <t>¿Cómo se realiza la actividad de control?</t>
    </r>
    <r>
      <rPr>
        <sz val="11"/>
        <color theme="1"/>
        <rFont val="Arial Narrow"/>
        <family val="2"/>
      </rPr>
      <t xml:space="preserve">: Realiza la revisión en fuentes de información oficial y se procede a actualizar la matriz de requisitos legales en ISOLUCIÓN, incluyendo los respectivos soportes que apliquen.
</t>
    </r>
    <r>
      <rPr>
        <b/>
        <sz val="11"/>
        <color theme="1"/>
        <rFont val="Arial Narrow"/>
        <family val="2"/>
      </rPr>
      <t>Propósito:</t>
    </r>
    <r>
      <rPr>
        <sz val="11"/>
        <color theme="1"/>
        <rFont val="Arial Narrow"/>
        <family val="2"/>
      </rPr>
      <t xml:space="preserve"> garantizar que se identifican los requisitos legales y otros requisitos ambientales aplicables al INM.
</t>
    </r>
    <r>
      <rPr>
        <b/>
        <sz val="11"/>
        <color theme="1"/>
        <rFont val="Arial Narrow"/>
        <family val="2"/>
      </rPr>
      <t>Periodicidad:</t>
    </r>
    <r>
      <rPr>
        <sz val="11"/>
        <color theme="1"/>
        <rFont val="Arial Narrow"/>
        <family val="2"/>
      </rPr>
      <t xml:space="preserve"> De acuerdo con lo establecido en el Procedimiento E-02-P-002 Gestión de Requisitos Legales y Documentos Externos.
</t>
    </r>
    <r>
      <rPr>
        <b/>
        <sz val="11"/>
        <color theme="1"/>
        <rFont val="Arial Narrow"/>
        <family val="2"/>
      </rPr>
      <t xml:space="preserve">¿Qué pasa con las observaciones o desviaciones?: </t>
    </r>
    <r>
      <rPr>
        <sz val="11"/>
        <color theme="1"/>
        <rFont val="Arial Narrow"/>
        <family val="2"/>
      </rPr>
      <t xml:space="preserve">
En caso de no identificar un requisito debe analizar las implicaciones y establecer la necesidad de formular un plan de mejora de acuerdo al E-03-P-003 Acciones correctivas y de mejora.
En caso de falla del aplicativo ISOLUCIÓN durante la actualización de la matriz, informar el caso a OAP (Oficina Asesora de Planeación).
Registrar de manera inmediata el requisito en ISOLUCION.
</t>
    </r>
    <r>
      <rPr>
        <b/>
        <sz val="11"/>
        <color theme="1"/>
        <rFont val="Arial Narrow"/>
        <family val="2"/>
      </rPr>
      <t>Evidencia de la ejecución del control:</t>
    </r>
    <r>
      <rPr>
        <sz val="11"/>
        <color theme="1"/>
        <rFont val="Arial Narrow"/>
        <family val="2"/>
      </rPr>
      <t xml:space="preserve"> Matriz de requisitos legales actualizada en ISOLUCIÓN.
</t>
    </r>
    <r>
      <rPr>
        <b/>
        <sz val="11"/>
        <color theme="1"/>
        <rFont val="Arial Narrow"/>
        <family val="2"/>
      </rPr>
      <t>Documentado</t>
    </r>
    <r>
      <rPr>
        <sz val="11"/>
        <color theme="1"/>
        <rFont val="Arial Narrow"/>
        <family val="2"/>
      </rPr>
      <t>: E-02-P-002 Gestión de requisitos legales y documentos externos</t>
    </r>
  </si>
  <si>
    <t>* Profesional Universitario 11 - Líder de la Gestión Ambiental</t>
  </si>
  <si>
    <t>25-12-2025</t>
  </si>
  <si>
    <t>Resultados de indicadores de programas ambientales del periodo en nivel satisfactorio.</t>
  </si>
  <si>
    <r>
      <rPr>
        <b/>
        <sz val="11"/>
        <color theme="1"/>
        <rFont val="Arial Narrow"/>
        <family val="2"/>
      </rPr>
      <t>Control 2</t>
    </r>
    <r>
      <rPr>
        <sz val="11"/>
        <color theme="1"/>
        <rFont val="Arial Narrow"/>
        <family val="2"/>
      </rPr>
      <t xml:space="preserve">: Realizar el seguimiento al cumplimiento de requisitos legales y otros requisitos ambientales aplicables. 
</t>
    </r>
    <r>
      <rPr>
        <b/>
        <sz val="11"/>
        <color theme="1"/>
        <rFont val="Arial Narrow"/>
        <family val="2"/>
      </rPr>
      <t>Responsable</t>
    </r>
    <r>
      <rPr>
        <sz val="11"/>
        <color theme="1"/>
        <rFont val="Arial Narrow"/>
        <family val="2"/>
      </rPr>
      <t xml:space="preserve">: Profesional Universitario Líder de la Gestión Ambiental.
</t>
    </r>
    <r>
      <rPr>
        <b/>
        <sz val="11"/>
        <color theme="1"/>
        <rFont val="Arial Narrow"/>
        <family val="2"/>
      </rPr>
      <t>¿Cómo se realiza la actividad de control?</t>
    </r>
    <r>
      <rPr>
        <sz val="11"/>
        <color theme="1"/>
        <rFont val="Arial Narrow"/>
        <family val="2"/>
      </rPr>
      <t xml:space="preserve">: hace la revisión y/o actualización de los soportes que permitan evaluar el cumplimiento de requisitos legales y otros y se realiza el registro en  la Matriz de requisitos legales actualizada en ISOLUCIÓN. y el formato E-02-F-043 Seguimiento Requisitos Legales / Documentos Externos conforme a los lineamientos definidos en el Procedimiento E-02-P-002 Gestión de Requisitos Legales y Documentos Externos.
Cuando se presentan situaciones que requieren la intervención de la Alta Dirección se informa al Comité Institucional de Gestión y Desempeño para la toma de decisiones y establecimiento de acciones, adicionalmente al menos una vez al año durante la Revisión por la Dirección se presenta la gestión de los requisitos legales y otros requisitos en materia ambiental.
</t>
    </r>
    <r>
      <rPr>
        <b/>
        <sz val="11"/>
        <color theme="1"/>
        <rFont val="Arial Narrow"/>
        <family val="2"/>
      </rPr>
      <t>Propósito</t>
    </r>
    <r>
      <rPr>
        <sz val="11"/>
        <color theme="1"/>
        <rFont val="Arial Narrow"/>
        <family val="2"/>
      </rPr>
      <t xml:space="preserve">: Asegurar que el INM verifica el cumplimiento a los requisitos legales y otros requisitos en materia ambiental.
</t>
    </r>
    <r>
      <rPr>
        <b/>
        <sz val="11"/>
        <color theme="1"/>
        <rFont val="Arial Narrow"/>
        <family val="2"/>
      </rPr>
      <t>Periodicidad</t>
    </r>
    <r>
      <rPr>
        <sz val="11"/>
        <color theme="1"/>
        <rFont val="Arial Narrow"/>
        <family val="2"/>
      </rPr>
      <t xml:space="preserve">: De acuerdo con lo establecido en el Procedimiento E-02-P-002.
Gestión de Requisitos Legales y Documentos Externos.
</t>
    </r>
    <r>
      <rPr>
        <b/>
        <sz val="11"/>
        <color theme="1"/>
        <rFont val="Arial Narrow"/>
        <family val="2"/>
      </rPr>
      <t xml:space="preserve">¿Qué pasa con las observaciones o desviaciones?: 
</t>
    </r>
    <r>
      <rPr>
        <sz val="11"/>
        <color theme="1"/>
        <rFont val="Arial Narrow"/>
        <family val="2"/>
      </rPr>
      <t xml:space="preserve">En caso de no realizar el seguimiento a un requisito conforme a los lineamientos definidos en el Procedimiento E-02-P-002 Gestión de Requisitos Legales y Documentos Externos se analizarán las implicaciones y establecerá la necesidad de formular un plan de mejora de acuerdo al E-03-P-003 Acciones correctivas y de mejora.
Realizar el seguimiento y de manera inmediata registrarlo en ISOLUCION.
En caso de falla del aplicativo ISOLUCIÓN durante la actualización de la matriz, informar el caso a OAP.
</t>
    </r>
    <r>
      <rPr>
        <b/>
        <sz val="11"/>
        <color theme="1"/>
        <rFont val="Arial Narrow"/>
        <family val="2"/>
      </rPr>
      <t>Evidencia de la ejecución del control:</t>
    </r>
    <r>
      <rPr>
        <sz val="11"/>
        <color theme="1"/>
        <rFont val="Arial Narrow"/>
        <family val="2"/>
      </rPr>
      <t xml:space="preserve"> Matriz de requisitos legales actualizada en ISOLUCIÓN y registro en el formato E-02-F-043 Seguimiento Requisitos Legales / Documentos Externos.
</t>
    </r>
    <r>
      <rPr>
        <b/>
        <sz val="11"/>
        <color theme="1"/>
        <rFont val="Arial Narrow"/>
        <family val="2"/>
      </rPr>
      <t>Documentado</t>
    </r>
    <r>
      <rPr>
        <sz val="11"/>
        <color theme="1"/>
        <rFont val="Arial Narrow"/>
        <family val="2"/>
      </rPr>
      <t>: E-02-P-002 Gestión de requisitos legales y documentos externos</t>
    </r>
  </si>
  <si>
    <r>
      <rPr>
        <b/>
        <sz val="11"/>
        <color theme="1"/>
        <rFont val="Arial Narrow"/>
        <family val="2"/>
      </rPr>
      <t>Control 3</t>
    </r>
    <r>
      <rPr>
        <sz val="11"/>
        <color theme="1"/>
        <rFont val="Arial Narrow"/>
        <family val="2"/>
      </rPr>
      <t xml:space="preserve">: Formular el Plan de Acción Ambiental (PAAmb) incluyendo los recursos para el cumplimiento de actividades posterior a la asignación de presupuesto al INM.
</t>
    </r>
    <r>
      <rPr>
        <b/>
        <sz val="11"/>
        <color theme="1"/>
        <rFont val="Arial Narrow"/>
        <family val="2"/>
      </rPr>
      <t>Responsable:</t>
    </r>
    <r>
      <rPr>
        <sz val="11"/>
        <color theme="1"/>
        <rFont val="Arial Narrow"/>
        <family val="2"/>
      </rPr>
      <t xml:space="preserve"> Profesional Universitario Líder de la Gestión Ambiental.
</t>
    </r>
    <r>
      <rPr>
        <b/>
        <sz val="11"/>
        <color theme="1"/>
        <rFont val="Arial Narrow"/>
        <family val="2"/>
      </rPr>
      <t>¿Cómo se realiza la actividad de control?:</t>
    </r>
    <r>
      <rPr>
        <sz val="11"/>
        <color theme="1"/>
        <rFont val="Arial Narrow"/>
        <family val="2"/>
      </rPr>
      <t xml:space="preserve">
Realizar la solicitud de recursos al Secretario General al finalizar la vigencia para atender las necesidades del SGA de la siguiente vigencia y verifica su asignación en el Plan Anual de Adquisiciones (PAA).
Posterior a ello formula una propuesta del PAAmb al inicio de la vigencia que se remite al Secretario General para su revisión y posterior envío a la OAP para su aprobación en el CIGD.
</t>
    </r>
    <r>
      <rPr>
        <b/>
        <sz val="11"/>
        <color theme="1"/>
        <rFont val="Arial Narrow"/>
        <family val="2"/>
      </rPr>
      <t>Propósito</t>
    </r>
    <r>
      <rPr>
        <sz val="11"/>
        <color theme="1"/>
        <rFont val="Arial Narrow"/>
        <family val="2"/>
      </rPr>
      <t xml:space="preserve">: Identificar las necesidades del SGA con el fin de atender los requisitos legales y otros requisitos aplicables.
</t>
    </r>
    <r>
      <rPr>
        <b/>
        <sz val="11"/>
        <color theme="1"/>
        <rFont val="Arial Narrow"/>
        <family val="2"/>
      </rPr>
      <t>Periodicidad</t>
    </r>
    <r>
      <rPr>
        <sz val="11"/>
        <color theme="1"/>
        <rFont val="Arial Narrow"/>
        <family val="2"/>
      </rPr>
      <t xml:space="preserve">: Anual.
</t>
    </r>
    <r>
      <rPr>
        <b/>
        <sz val="11"/>
        <color theme="1"/>
        <rFont val="Arial Narrow"/>
        <family val="2"/>
      </rPr>
      <t xml:space="preserve">¿Qué pasa con las observaciones o desviaciones?: </t>
    </r>
    <r>
      <rPr>
        <sz val="11"/>
        <color theme="1"/>
        <rFont val="Arial Narrow"/>
        <family val="2"/>
      </rPr>
      <t xml:space="preserve">
Si no es aprobada la propuesta total de recursos para el SGA, debe establecer prioridades en cuanto a las actividades a desarrollar con el presupuesto asignado.
En caso de no solicitar algún recurso requerido, se informa de forma inmediata al Secretario General para que se revise la posibilidad de incluirlo en el PAA de acuerdo a la disponibilidad de recursos.
</t>
    </r>
    <r>
      <rPr>
        <b/>
        <sz val="11"/>
        <color theme="1"/>
        <rFont val="Arial Narrow"/>
        <family val="2"/>
      </rPr>
      <t>Evidencia de la ejecución del control:</t>
    </r>
    <r>
      <rPr>
        <sz val="11"/>
        <color theme="1"/>
        <rFont val="Arial Narrow"/>
        <family val="2"/>
      </rPr>
      <t xml:space="preserve"> PAAmb y PAA aprobado.
</t>
    </r>
    <r>
      <rPr>
        <b/>
        <sz val="11"/>
        <color theme="1"/>
        <rFont val="Arial Narrow"/>
        <family val="2"/>
      </rPr>
      <t>Documentado:</t>
    </r>
    <r>
      <rPr>
        <sz val="11"/>
        <color theme="1"/>
        <rFont val="Arial Narrow"/>
        <family val="2"/>
      </rPr>
      <t xml:space="preserve"> A-05-P-008 PLANIFICACIÓN DE ACCIONES, SEGUIMIENTO, MEDICIÓN, ANÁLISIS Y EVALUACIÓN AMBIENTAL</t>
    </r>
  </si>
  <si>
    <r>
      <rPr>
        <b/>
        <sz val="11"/>
        <color theme="1"/>
        <rFont val="Arial Narrow"/>
        <family val="2"/>
      </rPr>
      <t>Control 4</t>
    </r>
    <r>
      <rPr>
        <sz val="11"/>
        <color theme="1"/>
        <rFont val="Arial Narrow"/>
        <family val="2"/>
      </rPr>
      <t xml:space="preserve">: Seguimiento a la ejecución del Plan de Acción Ambiental (PAAmb).
</t>
    </r>
    <r>
      <rPr>
        <b/>
        <sz val="11"/>
        <color theme="1"/>
        <rFont val="Arial Narrow"/>
        <family val="2"/>
      </rPr>
      <t xml:space="preserve">Responsable: </t>
    </r>
    <r>
      <rPr>
        <sz val="11"/>
        <color theme="1"/>
        <rFont val="Arial Narrow"/>
        <family val="2"/>
      </rPr>
      <t xml:space="preserve">Profesional Universitario Líder de la Gestión Ambiental.
</t>
    </r>
    <r>
      <rPr>
        <b/>
        <sz val="11"/>
        <color theme="1"/>
        <rFont val="Arial Narrow"/>
        <family val="2"/>
      </rPr>
      <t xml:space="preserve">¿Cómo se realiza la actividad de control?:
</t>
    </r>
    <r>
      <rPr>
        <sz val="11"/>
        <color theme="1"/>
        <rFont val="Arial Narrow"/>
        <family val="2"/>
      </rPr>
      <t xml:space="preserve">Elabora un informe de la ejecución del Plan de Acción Ambiental, cuando se requiere la intervención de la Alta Dirección, informa al Comité Institucional de Gestión y Desempeño para la toma de decisiones y establecimiento de acciones de mejora del desempeño ambiental.
</t>
    </r>
    <r>
      <rPr>
        <b/>
        <sz val="11"/>
        <color theme="1"/>
        <rFont val="Arial Narrow"/>
        <family val="2"/>
      </rPr>
      <t>Propósito</t>
    </r>
    <r>
      <rPr>
        <sz val="11"/>
        <color theme="1"/>
        <rFont val="Arial Narrow"/>
        <family val="2"/>
      </rPr>
      <t xml:space="preserve">: Asegurar que las acciones establecidas PAAmb para el cumplimiento a los requisitos legales y otros requisitos en materia ambiental se ejecuten.
</t>
    </r>
    <r>
      <rPr>
        <b/>
        <sz val="11"/>
        <color theme="1"/>
        <rFont val="Arial Narrow"/>
        <family val="2"/>
      </rPr>
      <t>Periodicidad:</t>
    </r>
    <r>
      <rPr>
        <sz val="11"/>
        <color theme="1"/>
        <rFont val="Arial Narrow"/>
        <family val="2"/>
      </rPr>
      <t xml:space="preserve"> Trimestral.
</t>
    </r>
    <r>
      <rPr>
        <b/>
        <sz val="11"/>
        <color theme="1"/>
        <rFont val="Arial Narrow"/>
        <family val="2"/>
      </rPr>
      <t xml:space="preserve">¿Qué pasa con las observaciones o desviaciones?: </t>
    </r>
    <r>
      <rPr>
        <sz val="11"/>
        <color theme="1"/>
        <rFont val="Arial Narrow"/>
        <family val="2"/>
      </rPr>
      <t xml:space="preserve">
En caso de no realizar el seguimiento analizarán las implicaciones y establecerá la necesidad de formular un plan de mejora de acuerdo al E-03-P-003 Acciones correctivas y de mejora.
En caso de no ejecutar alguna actividad, revisar la procedencia de reprogramación o retiro de la actividad en el cronograma.
</t>
    </r>
    <r>
      <rPr>
        <b/>
        <sz val="11"/>
        <color theme="1"/>
        <rFont val="Arial Narrow"/>
        <family val="2"/>
      </rPr>
      <t xml:space="preserve">Evidencia de la ejecución del control: </t>
    </r>
    <r>
      <rPr>
        <sz val="11"/>
        <color theme="1"/>
        <rFont val="Arial Narrow"/>
        <family val="2"/>
      </rPr>
      <t xml:space="preserve">Informe de seguimiento al PAAmb, acta de reunión del CIGD (cuando aplique).
</t>
    </r>
    <r>
      <rPr>
        <b/>
        <sz val="11"/>
        <color theme="1"/>
        <rFont val="Arial Narrow"/>
        <family val="2"/>
      </rPr>
      <t>Documentado</t>
    </r>
    <r>
      <rPr>
        <sz val="11"/>
        <color theme="1"/>
        <rFont val="Arial Narrow"/>
        <family val="2"/>
      </rPr>
      <t>: A-05-P-008 PLANIFICACIÓN DE ACCIONES, SEGUIMIENTO, MEDICIÓN, ANÁLISIS Y EVALUACIÓN AMBIENTAL</t>
    </r>
  </si>
  <si>
    <t>A05-R4</t>
  </si>
  <si>
    <t>Posibilidad de afectación reputacional por daño al ambiente y a la comunidad circundante dadas las emisiones, derrames, vertimientos de sustancias químicas y residuos peligrosos, fugas de gases, explosión, incendio, etc., debido a fallas en las operaciones internas y/o errores humanos y/o amenazas externas.</t>
  </si>
  <si>
    <t xml:space="preserve">Desconocimiento del personal sobre los temas ambientales
Insuficiente personal para dar tratamiento sobre las emergencias que se puedan presentar. </t>
  </si>
  <si>
    <t>Fallas en las operaciones internas y/o errores humanos.</t>
  </si>
  <si>
    <r>
      <t xml:space="preserve">Control: </t>
    </r>
    <r>
      <rPr>
        <sz val="11"/>
        <color theme="1"/>
        <rFont val="Arial Narrow"/>
        <family val="2"/>
      </rPr>
      <t>Aplicar las acciones establecidas en el Plan de Acción Ambiental (Lamb) para la prevención y preparación en la atención de emergencias ambientales.</t>
    </r>
    <r>
      <rPr>
        <b/>
        <sz val="11"/>
        <color theme="1"/>
        <rFont val="Arial Narrow"/>
        <family val="2"/>
      </rPr>
      <t xml:space="preserve">
Responsable: </t>
    </r>
    <r>
      <rPr>
        <sz val="11"/>
        <color theme="1"/>
        <rFont val="Arial Narrow"/>
        <family val="2"/>
      </rPr>
      <t>Profesional Universitario Líder de la Gestión Ambiental, responsable del SG-SST y Responsables de la Brigada de Emergencia.</t>
    </r>
    <r>
      <rPr>
        <b/>
        <sz val="11"/>
        <color theme="1"/>
        <rFont val="Arial Narrow"/>
        <family val="2"/>
      </rPr>
      <t xml:space="preserve">
¿Cómo se realiza la actividad de control?:
</t>
    </r>
    <r>
      <rPr>
        <sz val="11"/>
        <color theme="1"/>
        <rFont val="Arial Narrow"/>
        <family val="2"/>
      </rPr>
      <t xml:space="preserve">Ejecuta las actividades programadas en el Lamb para la prevención y preparación en la atención de emergencias ambientales. </t>
    </r>
    <r>
      <rPr>
        <b/>
        <sz val="11"/>
        <color theme="1"/>
        <rFont val="Arial Narrow"/>
        <family val="2"/>
      </rPr>
      <t xml:space="preserve">
</t>
    </r>
    <r>
      <rPr>
        <sz val="11"/>
        <color theme="1"/>
        <rFont val="Arial Narrow"/>
        <family val="2"/>
      </rPr>
      <t xml:space="preserve">Incluir en el informe de seguimiento del Lamb la ejecución de las actividades programadas para la prevención y preparación en la atención de emergencias ambientales cuando aplique.
Cuando se requiere la intervención de la Alta Dirección, informa al Comité Institucional de Gestión y Desempeño para la toma de decisiones y establecimiento de acciones de mejora del frente a la atención y preparación de emergencias.
</t>
    </r>
    <r>
      <rPr>
        <b/>
        <sz val="11"/>
        <color theme="1"/>
        <rFont val="Arial Narrow"/>
        <family val="2"/>
      </rPr>
      <t xml:space="preserve">Propósito: </t>
    </r>
    <r>
      <rPr>
        <sz val="11"/>
        <color theme="1"/>
        <rFont val="Arial Narrow"/>
        <family val="2"/>
      </rPr>
      <t xml:space="preserve">Asegurar que se previene la generación de emergencias ambientales y que la entidad se encuentra preparada para atenderlas evitando o mitigando afectaciones al ambiente y a la comunidad.
Periodicidad: Trimestral.
</t>
    </r>
    <r>
      <rPr>
        <b/>
        <sz val="11"/>
        <color theme="1"/>
        <rFont val="Arial Narrow"/>
        <family val="2"/>
      </rPr>
      <t xml:space="preserve">¿Qué pasa con las observaciones o desviaciones?: 
</t>
    </r>
    <r>
      <rPr>
        <sz val="11"/>
        <color theme="1"/>
        <rFont val="Arial Narrow"/>
        <family val="2"/>
      </rPr>
      <t>En caso de no realizar el seguimiento a la ejecución analizarán las implicaciones y establecerá la necesidad de formular un plan de mejora de acuerdo al E-03-P-003 Acciones correctivas y de mejora.
En caso de no ejecutar alguna actividad, revisar la procedencia de reprogramación o retiro del cronograma</t>
    </r>
    <r>
      <rPr>
        <b/>
        <sz val="11"/>
        <color theme="1"/>
        <rFont val="Arial Narrow"/>
        <family val="2"/>
      </rPr>
      <t xml:space="preserve">.
Evidencia de la ejecución del control: </t>
    </r>
    <r>
      <rPr>
        <sz val="11"/>
        <color theme="1"/>
        <rFont val="Arial Narrow"/>
        <family val="2"/>
      </rPr>
      <t>Informe de seguimiento al Lamb, acta de reunión del CIGD (cuando aplique), informes de simulacros en el formato  A-05-F-028 Informe situación emergencia o accidente ambiental.
Documentado: A-05-P-008 PLANIFICACIÓN DE ACCIONES, SEGUIMIENTO, MEDICIÓN, ANÁLISIS Y EVALUACIÓN AMBIENTAL</t>
    </r>
  </si>
  <si>
    <t>Brigada de emergencias
SG - SST
SGA</t>
  </si>
  <si>
    <t>2025-04-18
2025-07-17
2025-10-17
2026-01-16</t>
  </si>
  <si>
    <t>Resultados de indicadores de programas ambientales del periodo en nivel satisfactorio.
Accidentes presentados por derrame de sustancias químicas</t>
  </si>
  <si>
    <t>A06-R2</t>
  </si>
  <si>
    <t>(A-06)
Control Disciplinario</t>
  </si>
  <si>
    <t xml:space="preserve">Posibilidad de afectación económica y reputacional por aplicación inadecuada del marco jurídico que rige el proceso disciplinario debido a que los servidores públicos que intervienen interactúan y/o gestionan los procesos disciplinarios  no aplican el marco jurídico dentro de estos. </t>
  </si>
  <si>
    <t>No se realiza seguimiento al marco jurídico usado en los procesos disciplinarios
No se realiza retroalimentación de la sustanciación de los procesos
Falta de acceso a la base de datos del marco normativo</t>
  </si>
  <si>
    <t xml:space="preserve">Los servdiores publicos que intervienen, interactuan y/o gestionan los procesos disciplinarios  no aplican el marco jurídico dentro de estos. </t>
  </si>
  <si>
    <t>Control 1: Realizar las diligencias necearias para notificar o comunicar a los sujetos procesales.
Propósito: Garantizar el derecho a la defensa y el debido proceso administrativo.
Responsable: Profesional del derecho asignado a la Secretaría General
¿Cómo se realiza el control?: Se verifica en el CGD y en el procedimiento interno disciplinario el término y forma establecido para cada tipo de comunicación o notificación y se procede de conformidad con los mismos.
Periodicidad: Cada vez que se genere un acto administrativo sujeto de comunicacion o notificacion.
Evidencia: A-06-F-015 Base de datos consolidado y activos procesos disciplinarios, Etapa de instrucción
Desviaciones/observaciones: De acuerdo al Código General Disciplinario y al procedimiento interno ante la no satisfacción de los requisitos de una forma de notificación o comunicación se procede con la forma supletoria establecida en las normas ibidem. 
Documento:   A-06-P-001 PROCEDIMIENTO PROCESOS DISCIPLINARIOS</t>
  </si>
  <si>
    <t>No se identifica una acción toda vez que en la vigencia 2025 se actualizó el procedimiento asociado y el mismo fue socializado en dicha vigencia.
Adicionalmente, la zona de riesgo final quedó en residual muy bajo</t>
  </si>
  <si>
    <t>Procesos disciplinarios atendidos en los términos de ley asegurando el comportamiento ético, la moral y la eficiencia de los servidores públicos permitiendo al INM desarrollar sus objetivos misionales y el correcto ejercicio de los servicios prestados</t>
  </si>
  <si>
    <t>Control 2: Identificar la existencia o no de un conflicto de interés o impedimento para conocer el asunto, acorde con lo establecido en la normatividad vigente y los procedimientos establecidos por el INM.
Propósito: Garantizar el derecho a la defensa y el debido proceso administrativo.
Responsable: Secretaría General y/o profesional del derecho asignado por Secretaria General.
¿Cómo se realiza el control?: De acuerdo a lo indicado en el Capitulo IV del Titulo III del Código General Disciplinario -CGD- (Ley 1952 de 2019)
Periodicidad: Cada vez que se conoce por primera vez de una noticia disciplinaria o proceso disciplinario.
Evidencia: A-06-F-015 Base de datos consolidado y activos procesos disciplinarios, Etapa de instrucción
Desviaciones/observaciones: El no reconocimiento de un conflicto de interes, presuntamente, es una causal de nulidad por afectacion al debido proceso administrativo; ante este supuesto es preciso proceder de acuerdo a lo indicado en los artículos 202 y 204 del CGD.
Documento:   A-06-P-001 PROCEDIMIENTO PROCESOS DISCIPLINARIOS</t>
  </si>
  <si>
    <t>A07-R1</t>
  </si>
  <si>
    <t>(A-07)
Contratación y Adquisición de Bienes y Servicios</t>
  </si>
  <si>
    <t xml:space="preserve">Posibilidad de incumplimiento de metas institucionales, por retrasos en el inicio de ejecución de los contratos debido a radicación de las solicitudes de contratación por fuera de los tiempos establecidos en el Plan anual de adquisiciones por parte de las áreas y/o revisión inoportuna de los documentos previos del proceso de contratación por parte del Grupo de Gestión Jurídica. Y/o por respuesta inoportuna por parte de las áreas y/o contratistas frente a solicitud de ajustes o documentación faltante. </t>
  </si>
  <si>
    <t>Retrasos en el inicio de ejecución de los contratos</t>
  </si>
  <si>
    <t>Radicación de las solicitudes de contratación por fuera de los tiempos establecidos en el Plan anual de adquisiciones por parte de las áreas
Revisión inoportuna de los documentos previos del proceso de contratación por parte del Grupo de Gestión Jurídica.
Respuesta inoportuna por parte de las áreas y/o contratistas frente a solicitud de ajustes o documentación faltante</t>
  </si>
  <si>
    <t>El coordinador del Grupo interno de trabajo de GJCD realiza seguimiento al Plan Anual de adquisiciones a través de un reporte mensual (Archivo Excel), el cual es enviado a través de correo electrónico a la Alta Dirección/Gerentes de proyecto de las diferentes áreas.</t>
  </si>
  <si>
    <t>El Profesional asignado de contratación efectúa la revisión de la solicitud de contratación del Estudio y los documentos previos con el fin de validar la viabilidad de la contratación, cada vez que se radique en el grupo de GJCD y se generan las listas de chequeo según modalidad que corresponda y correos enviados al área solicitante para subsanar las observaciones realizadas durante la revisión</t>
  </si>
  <si>
    <t xml:space="preserve">El Coordinador del Grupo interno de trabajo de Gestión Jurídica cada 15 días realiza seguimiento a cada uno de los procesos de contratación asignados a los profesionales del Grupo interno de trabajo de GJCD. Se realiza seguimiento de las actividades realizadas por el profesional asignado de contratación en cuanto a cumplimiento de los términos establecidos en los procedimientos para cada modalidad de contratación de acuerdo a las solicitudes de contratación radicadas. (Evidencia: Seguimiento a la matriz A-07-F-25 Matriz de Contratos, Correo con los compromisos adquiridos durante la reunión de seguimiento.)
</t>
  </si>
  <si>
    <t>A07-R2</t>
  </si>
  <si>
    <t>Posibilidad de materialización de hechos cumplidos y/o generación de hallazgos por parte de los entes de control internos/externos por radicación inoportuna de las solicitudes de modificación de los contratos por parte de los supervisores debido a una inadecuada actividad de supervisión.</t>
  </si>
  <si>
    <t>Radicación inoportuna de las solicitudes de modificación de los contratos por parte de los supervisores</t>
  </si>
  <si>
    <t>Inadecuada actividad de supervisión</t>
  </si>
  <si>
    <t>El Coordinador del Grupo interno de trabajo de GJCD trimestralmente realiza seguimiento las modificaciones radicadas versus las solicitudes de modificación realizadas dentro de los tiempos establecidos en  los procedimientos. (Evidencia: Seguimiento a la matriz A-07-F-25 Matriz de Contratos)</t>
  </si>
  <si>
    <t xml:space="preserve">El grupo interno de GJCD realiza semestralmente sensibilizaciones a los supervisores de los contratos durante la vigencia, con el fin de mitigar los riesgos asociados a la ejecución contractual y a una inadecuada actividad de supervisión. (Evidencia: Lista de asistencia o constancia de correo electrónico.) 
</t>
  </si>
  <si>
    <t>A07-R3</t>
  </si>
  <si>
    <t>Posibilidad de Sanciones Disciplinarias por inoportunidad en el reporte de información a entes externos debido a falta de información en los expedientes contractuales y en la matriz de contratos del Grupo de GJCD</t>
  </si>
  <si>
    <t>Inoportunidad en el reporte de información a entes externos</t>
  </si>
  <si>
    <t>Falta de información en los expedientes contractuales y en la matriz de contratos del Grupo de GJCD</t>
  </si>
  <si>
    <t xml:space="preserve">El Coordinador del Grupo interno de trabajo de Gestión Jurídica Contractual y de Investigaciones de Carácter Disciplinario o a quien este asigne la tarea de reportar la información, verifica que la información a entregar se encuentre actualizada y acorde con lo requerido por cada entidad. En caso de no entregarse dentro del plazo previsto se reiterará la solicitud y se hablará con el responsable del proceso, así mismo se reportará al Secretario General para las acciones que estime pertinentes. (Evidencia: Constancia de cargue o correo electrónico) </t>
  </si>
  <si>
    <t>A07-R4</t>
  </si>
  <si>
    <t>Posibilidad de pérdida económica y reputacional por incumplimiento en la aplicación de los cambios de las normas aplicables al proceso debido a que no se hace seguimiento al cambio del marco normativo para el desarrollo de las actividades del proceso.</t>
  </si>
  <si>
    <t>Desconocimiento del marco normativo legal para el desarrollo de las actividades del proceso</t>
  </si>
  <si>
    <t>No se hace seguimiento al cambio del marco normativo para el desarrollo de las actividades del proceso</t>
  </si>
  <si>
    <t>Los profesionales del grupo de gestión jurídica contractual de secretaría general revisan la información de todos los procesos contractuales que adelantan los abogados contratistas de los distintos procesos de la entidad. Dentro de la información revisada se encuentra la referencia del marco normativo o legal. 
Registro: Correo electrónico</t>
  </si>
  <si>
    <t>A08-R1</t>
  </si>
  <si>
    <t>(A-08)
Gestión de Servicios Metrológicos</t>
  </si>
  <si>
    <t xml:space="preserve">Posible pérdida económica y reputacional por una inapropiada gestión de los servicios demandados, debido a fallas en la comunicación entre usuarios y responsables de la gestión, insuficiente verificación de los documentos antes de emitir al cliente, fallas en el sistema e insuficiente capacidad. </t>
  </si>
  <si>
    <t>Inapropiada gestión de los servicios demandados</t>
  </si>
  <si>
    <t>Fallas en la comunicación entre usuarios y responsables de la gestión</t>
  </si>
  <si>
    <t>El Coordinador del GGSM y su profesional de apoyo realizan como mínimo de manera anual y al inicio de cada vigencia la revisión y actualización de la información del servicio en la página Web. Adicionalmente, cada que sea requerido, esta información es actualizada, con el apoyo de las áreas técnicas, con el objetivo de brindar información clara y oportuna a los usuarios. 
Registro: Página web y solicitudes de publicación de información al Grupo de Comunicaciones y Relación con el Ciudadano.</t>
  </si>
  <si>
    <t>Insuficiente verificación de los documentos, antes de emitir al cliente</t>
  </si>
  <si>
    <t>El cliente realiza cada que solicita un servicio y antes de su confirmación a través del aplicativo BPMetro la previsualización de la carátula, con el objetivo de identificar posibles errores en la emisión del certificado de calibración. 
Registro: Aplicativo BPMetro.</t>
  </si>
  <si>
    <t>Fallas en el sistema</t>
  </si>
  <si>
    <t>Cada que se solicita un servicio y antes de emitir la cotización, el profesional del GGSM realiza la revisión previa de la información consignada por el cliente y de las tarifas aplicadas, con el objetivo de asegurar que tanto los datos del cliente y del equipo, así como la tarifa, estén correctas. De igual forma, también se verifica el costo de desplazamientos, si esto aplica.
Registro: Aplicativo BPMetro.</t>
  </si>
  <si>
    <t>Cada que se solicita un servicio, el responsable del laboratorio revisa la solicitud a través del aplicativo BPMetro, verificando que los requisitos técnicos de los equipos a calibrar, los intervalos de medición, métodos de medición (si aplica) y la capacidad técnica con que cuenta el laboratorio (CMC), etc., cumplen con los requisitos del cliente, y que se cuenta con los recursos necesarios para prestar el servicio. 
Registro: Aplicativo BPMetro.</t>
  </si>
  <si>
    <t>Insuficiente capacidad para la prestación de servicios</t>
  </si>
  <si>
    <t>Al inicio de cada vigencia y cada que se solicita un servicio, el profesional del área responsable de su prestación revisa la capacidad para prestar el servicio (ensayos de aptitud, asistencia técnica, calibración, capacitación), de acuerdo con la oferta y cotización presentada al cliente. 
Registro: Oferta de servicios (página web), Cotización y Aplicativo BPMetro.</t>
  </si>
  <si>
    <t>A08-R2</t>
  </si>
  <si>
    <t>Posible pérdida económica por imposibilidad de la prestación de servicios de calibración en las instalaciones del cliente debido a incumplimiento de las condiciones por parte del cliente para la prestación de servicios de calibración en sitio.</t>
  </si>
  <si>
    <t xml:space="preserve">Imposibilidad de la prestación de servicios de calibración en las instalaciones del cliente.
</t>
  </si>
  <si>
    <t>Incumplimiento de las condiciones por parte del cliente para la prestación de servicios de calibración en sitio.</t>
  </si>
  <si>
    <t>El Coordinador del Grupo de Servicios Metrológicos antes de confirmar la prestación del servicio realiza comunicación previa de los requisitos para prestar servicios en sitio, informando al cliente de manera oportuna los términos y condiciones de la prestación del servicio antes de contratar el trabajo realizado, a través de los términos y condiciones especificadas en las cotizaciones y en la remisión de los formatos establecidos por cada uno de los laboratorios. Esto con el fin de que el cliente disponga lo necesario para la efectiva prestación del servicio. 
Soporte: Solicitud Cotización Servicio e Instrucciones para clientes, según el anexo aplicable a cada laboratorio.</t>
  </si>
  <si>
    <t>A08-R3</t>
  </si>
  <si>
    <t>Posible pérdida económica por recepción de equipos para realización de calibración con inconvenientes de funcionamiento, debido a falta o desconocimiento de especificaciones para recibir el equipo por parte de la persona encargada de efectuar dicha recepción.</t>
  </si>
  <si>
    <t>Recepción de equipos para realización de calibración con inconvenientes de funcionamiento</t>
  </si>
  <si>
    <t xml:space="preserve">Falta o desconocimiento de especificaciones para recibir el equipo por parte de la persona encargada de efectuar dicha recepción </t>
  </si>
  <si>
    <t>El técnico operativo del GSM en el caso de ser necesario y en el momento de recibir el equipo, solicita el apoyo de los expertos técnicos del laboratorio que corresponda, para la adecuada verificación del estado del equipo a recibir, con el fin de prevenir que se reciban equipos que no estén en condiciones para calibrar.
Soporte: Comprobante recepción y entrega de equipos.</t>
  </si>
  <si>
    <t>El Coordinador del GSM cada que sea requerido y con el apoyo de las áreas técnicas, revisa y actualiza el Instructivo de Inspección Visual, con el objetivo de establecer las instrucciones para verificar las condiciones y requisitos que deben cumplir los instrumentos entregados por el cliente para el servicio de calibración.
Soporte: Instructivo Inspección Visual.</t>
  </si>
  <si>
    <t>A08-R4</t>
  </si>
  <si>
    <t>Posible pérdida económica por ausencia de demanda de materiales de referencia, debido a desconocimiento de los clientes acerca del uso de los materiales de referencia</t>
  </si>
  <si>
    <t>Ausencia de demanda de materiales de referencia</t>
  </si>
  <si>
    <t>Desconocimiento de los clientes acerca del uso de los materiales de referencia</t>
  </si>
  <si>
    <t>La Coordinadora del Grupo Servicios Metrológicos y la Subdirectora de MQB, generar las actividades de promoción al principio de cada vigencia, con los comercializadores de materiales de referencia, en conjunto con la RCM, con el fin de evitar que no se venda el producto. 
Soporte: Página Web, eventos RCM. Descuentos establecidos en la Resolución de Tasas.</t>
  </si>
  <si>
    <t>A08-R5</t>
  </si>
  <si>
    <t>Posible pérdida económica por condiciones ambientales de almacenamiento de MRC y equipos a calibración, fuera de control, debido a falta de planificación en los cambios presentados sobre la custodia de los MRC para comercialización e IBC, insuficiente definición de los criterios técnicos requeridos para asegurar el adecuado almacenamiento y desconocimiento técnico del personal de la SSM sobre las condiciones de almacenamiento de los MRC e IBC.</t>
  </si>
  <si>
    <t>Condiciones ambientales de almacenamiento de MRC y equipos a calibración, fuera de control.</t>
  </si>
  <si>
    <t>Falta de planeación en los cambios presentados sobre la custodia de los MRC para comercialización. e IBC.</t>
  </si>
  <si>
    <t>La Coordinadora del Grupo de Gestión de Servicios Metrológicos con apoyo del técnico de recepción y entrega de equipos, hace el registro diario de las condiciones ambientales de los puntos de almacenamiento de los MRC y equipos a calibrar con el objeto de informar a la SMQB y la SMF, sobre posibles desviaciones en los límites especificados de control, con el propósito de Evitar el daño de los MRC y equipos a calibrar. 
Soporte: Formato Condiciones ambientales y carta de control, Manipulación segura, transporte y almacenamiento de MR, Recepción, verificación y almacenamiento reactivos, materiales y consumibles</t>
  </si>
  <si>
    <t>Insuficiente definición de los criterios técnicos requeridos para asegurar el adecuado almacenamiento de los IBC y MR.</t>
  </si>
  <si>
    <t>La Coordinadora del Grupo de Gestión de Servicios Metrológicos con el apoyo de las áreas técnicas cada que sea requerido, revisa y actualiza el Procedimiento Recepción y Almacenamiento de Equipos, el cual incluye las actividades para asegurar el almacenamiento adecuado de los IBC y MR. 
Soporte: Procedimiento Recepción y Almacenamiento de IBC y MR.</t>
  </si>
  <si>
    <t>Desconocimiento técnico del personal de la SSM sobre las condiciones de almacenamiento de los MRC e IBC.</t>
  </si>
  <si>
    <t>Anualmente la Coordinadora del Grupo de Gestión de Servicios Metrológicos define el Plan de Mantenimiento de Competencias, el cual incluye la socialización de los criterios técnicos para el almacenamiento adecuado de MRC e IBC, con el propósito de evitar el daño de los MRC y equipos a calibrar. 
Soporte: Plan de mantenimiento de competencias del personal.</t>
  </si>
  <si>
    <t>A08-R6</t>
  </si>
  <si>
    <t>Posibilidad de pérdida económica y reputacional por incumplimiento de requisitos del nuevo producto o servicio diseñado, debido a la falta de un análisis adecuado de las entradas del diseño para determinar los requisitos del mismo y las características para su cumplimiento.</t>
  </si>
  <si>
    <t>El nuevo producto o servicio diseñado no cumple requisitos para ser ofertado al cliente.</t>
  </si>
  <si>
    <t>No se hace un análisis adecuado de las entradas del diseño para determinar los requisitos del mismo y las características para el cumplimiento.</t>
  </si>
  <si>
    <t>Cada que se identifica la necesidad de diseñar un nuevo producto o servicio, se realiza la verificación por parte de la Coordinadora de Servicios Metrológicos de la adecuada documentación de la ficha técnica del diseño de productos y servicios, con el objetivo de asegurar que todas las entradas al diseño hayan sido identificadas y verificadas. 
Soporte: Ficha Técnica diseño de producto o servicio</t>
  </si>
  <si>
    <t>Antes que se apruebe el diseño del producto o servicio, el área responsable desarrolla la gestión del cambio , cuya ficha es revisada y aprobada por la alta dirección, con el objetivo de prevenir que se oferten productos o servicios sin contar con la capacidad técnica y operativa para cumplir los requisitos del cliente. 
Soporte: Solicitud de Cambio.</t>
  </si>
  <si>
    <t>A08-R7</t>
  </si>
  <si>
    <t>Posible pérdida económica y reputacional por cancelación o suspensión de una línea o tipo de producto o servicio sin la debida justificación, ocasionado por desconocimiento y falta de aplicación del procedimiento Reprogramación, Suspensión, Cancelación o Reincorporación de Productos y Servicios en la Oferta del INM.</t>
  </si>
  <si>
    <t>Cancelación o suspensión de una línea o tipo de producto o servicio sin la debida justificación</t>
  </si>
  <si>
    <t>Desconocimiento y falta de aplicación del procedimiento Reprogramación, Suspensión, Cancelación o Reincorporación de Productos y Servicios en la Oferta del INM.</t>
  </si>
  <si>
    <t>Cada que sea requerido y antes de solicitar o comunicar la necesidad de reprogramación, suspensión, cancelación o reincorporación de productos y servicios en la Oferta del INM a la SSM, el responsable del servicio analiza internamente con su equipo, la necesidad de la actuación y el impacto de cara al cliente. Involucra en dicho análisis otras dependencias, de ser requerido.
Soporte: Correo electrónico o solicitud de cambio, según aplique.</t>
  </si>
  <si>
    <t>Cada que sea requerido y antes de aprobar una reprogramación, suspensión, cancelación o reincorporación de productos y servicios en la Oferta del INM, la Alta Dirección revisa y aprueba la solicitud, sea por parte del Subdirector del área correspondiente o el CIGD, según sea requerido, con el objetivo de prevenir que se modifique la oferta del INM sin la debida revisión previa. 
Soporte: Correo electrónico o Solicitud de cambio, según aplique.</t>
  </si>
  <si>
    <t>Cada que sea requerido y antes de aprobar una suspensión, cancelación o reincorporación de productos y servicios en la Oferta del INM, se verifica y aprueba la gestión del cambio, por parte de la Alta Dirección, con el objetivo de asegurar la coherencia estratégica de dicha necesidad. 
Soporte: Solicitud de cambio.</t>
  </si>
  <si>
    <t>A08-R8</t>
  </si>
  <si>
    <t>Posible pérdida económica y reputacional  por  demora en la prestación del servicio de calibración debido a realizar entrada de los equipos fuera de las fechas establecidas por el laboratorio a causa de la demora del cliente o a que el equipo del cliente no cumple con los requisitos de calibración, pero se le da la opción de arreglar el problema y presentarlo de nuevo en días diferentes no programados.</t>
  </si>
  <si>
    <t>Demora en la prestación del servicio de calibración</t>
  </si>
  <si>
    <t>Realizar entrada de los equipos fuera de las fechas establecidas por el laboratorio a causa de la demora del cliente.</t>
  </si>
  <si>
    <t>Después de la solicitud del cliente y en el momento que se emite la cotización, La Coordinadora del GGSM en los términos y condiciones se informa al cliente que el ítem de calibración debe llegar a las instalaciones del INM el día programado para su recepción, en las condiciones solicitadas de limpieza preservación y/o funcionamiento, contando con los accesorios y elementos solicitados en la programación de servicios enviada, según aplique. Si un ítem de calibración programado para un servicio, llega hasta 15 días calendario, antes de la fecha de programación, se realiza el ingreso del ítem de calibración, dejando constancia en la casilla de “Observaciones” del formato A-08-F-005 Comprobante de recepción de equipos.
Soporte: Cotización de Servicios de Calibración</t>
  </si>
  <si>
    <t>El equipo del cliente no cumple con los requisitos de calibración pero se le da la opción de arreglar el problema y presentarlo de nuevo en días diferentes no programados</t>
  </si>
  <si>
    <t>Según la programación de recepción de IBC, el EREE informa al cliente que dado que se ha pasado de la fecha de entrega del IBC, no se mantiene la programación inicial y se evaluará la posibilidad de generar una nueva programación, con el propósito de evitar un impacto negativo en la programación de las prestación de servicio en los laboratorios debido a la demora de entrega de equipos.
Soporte: Correo electrónico con la comunicación al cliente.</t>
  </si>
  <si>
    <t>Previo a la solicitud del cliente y en el momento de solicitar la cotización, la Coordinadora del GGS; informa al cliente en el Formato de Cotización que cuando el servicio de calibración se presta en el INM, antes del envío del ítem de calibración, el usuario realiza las actividades de limpieza, mantenimiento, reparaciones y ajustes necesarios, al mismo, para garantizar su correcto funcionamiento. 
Evidencia: Cotización Servicio de Calibración (Términos y condiciones).</t>
  </si>
  <si>
    <t>C01-R1</t>
  </si>
  <si>
    <t>(C-01)
Evaluación, acompañamiento y asesoría al Sistema de Control Interno</t>
  </si>
  <si>
    <t xml:space="preserve">Posibilidad de afectación en la ejecución del Plan de Auditorías por desarticulación del equipo que realiza labores de auditoría de Control Interno debido a Imposiciones administrativas. Conflicto de intereses en la suscripción de contratos y/o con ocasión de la rotación de personal a partir de modificaciones del Manual de Funciones y de la planta global
</t>
  </si>
  <si>
    <t>Desarticulación del equipo que realiza labores de auditoría de Control Interno</t>
  </si>
  <si>
    <t>Imposiciones administrativas. Conflicto de intereses en la suscripción de contratos y/o con ocasión de la rotación de personal a partir de modificaciones del Manual de Funciones y de la planta global</t>
  </si>
  <si>
    <t>El Jefe de Control Interno, cada vez que se distribuya la planta global de personal por parte del Representante Legal, dentro de los cinco días hábiles posteriores verificará que el grupo de la Oficina de Control Interno está conformado por mínimo 3 servidores públicos (diferentes al Jefe de Control Interno), de no ser así se solicitará al Representante Legal su debida conformación. Si el Representante Legal no atiende o hace caso omiso a la solicitud informar a las instancias pertinentes acerca del potencial incumpliendo legal de adoptar el Sistema de Control Interno en su componente de evaluación. La información se registra en un Acta de Comité adicional a las comunicaciones formales en caso de ser desarticulación del equipo de la Oficina</t>
  </si>
  <si>
    <t>C01-R2</t>
  </si>
  <si>
    <t>Posibilidad de sesgo en los informes u omisión de información por subjetividad en la ejecución de auditorías debido a falta y/o fallas en la comunicación</t>
  </si>
  <si>
    <t>Subjetividad en la ejecución de auditorías</t>
  </si>
  <si>
    <t xml:space="preserve">Falta y/o fallas en la comunicación 
</t>
  </si>
  <si>
    <t>El Jefe de Control Interno o quien haga sus veces cada vez que realiza la programación de las actividades mensuales indagará con el equipo de auditores si existe incompatibilidades para el desarrollo de las actividades previstas a designar. En el evento en que alguno de los integrantes del grupo se manifieste, proceder concertar y re asignar las actividades. El auditor al elaborar un hallazgo debe verificar que todos cumplan con los siguientes 5 atributos: condición, criterio, causa, consecuencia o efecto y recomendación. El informe siempre es revisado por el Jefe de Control Interno el cual debe verificar que se cumplen con estos 5 criterios, de no tenerlos y detectarlo posteriormente se dará el debido alcance e informará a los interesados. Evidencia: informes de auditoría y comunicaciones de alcance</t>
  </si>
  <si>
    <t>Evitar</t>
  </si>
  <si>
    <t>C01-R3</t>
  </si>
  <si>
    <t>Posibilidad de Incumplimiento de carácter legal e institucional por Presentación inoportuna y/o inexacta de informes y/o reportes de ley debido a Errores humanos y/o fallas en los sistemas de información</t>
  </si>
  <si>
    <t>Presentación inoportuna y/o inexacta de informes y/o reportes de ley</t>
  </si>
  <si>
    <t>Errores humanos y/o fallas en los sistemas de información</t>
  </si>
  <si>
    <t>El Jefe de la Oficina de Control Interno verifica semanalmente a partir de la estructuración del cronograma mensual de actividades, fecha y tiempo para la presentación, elaboración, revisión y/o ajustes a los informes de ley que elaboran los auditores o en su defecto a la información que es objeto de reporte a entes externos y lo deja consignado como seguimiento en el archivo Excel del cronograma mensual. De no presentarse de manera oportuna se deberá reportar al Director General el incumplimiento normativo y sus incidencias para la toma de decisiones. Evidencia: correo electrónico mensual de comunicación de actividad a realizar.</t>
  </si>
  <si>
    <t>C01-R4</t>
  </si>
  <si>
    <t>Posibilidad de Hallazgos de auditoria y reprocesos administrativo por pérdida de información del Sistema de Seguimientos de Planes de Mejoramiento debido a fallas de seguridad de la información</t>
  </si>
  <si>
    <t>Pérdida de información del Sistema de Seguimientos de Planes de Mejoramiento</t>
  </si>
  <si>
    <t>Fallas de seguridad de la información</t>
  </si>
  <si>
    <t>El apoyo administrativo de control interno verifica mensualmente la información registrada en el SISEPM y genera base de datos donde se registra si cuenta con soportes, comentarios o cambios para cada uno de los planes e informa los integrante de la Oficina de Control Interno; de encontrar alguna inconsistencia se informa al la Oficina de tecnologías para el debido seguimiento y reportar nuevamente para que se vuelva a cargar la información por parte de los responsables. Evidencia: correo electrónico con la respectiva base de datos.</t>
  </si>
  <si>
    <t>C01-R5</t>
  </si>
  <si>
    <t>Probabilidad de Sanciones fiscales y disciplinarias por Inoportunidad en la trasmisión de información a entes de control debido a Indebida interpretación normativa.</t>
  </si>
  <si>
    <t>Inoportunidad en la trasmisión de información a entes de control</t>
  </si>
  <si>
    <t>Indebida interpretación normativa.</t>
  </si>
  <si>
    <t>El Jefe de Control Interno cada vez que sea expedido un nuevo requerimiento del ente de control fiscal, verifica en SIRECI dentro de los cinco primeros días hábiles siguientes las novedades, cambios, modificaciones en materia legal cuando el propósito del precepto legal tenga relación directa con la rendición de información a entes de control y máximo al quinto día hábil siguiente a través de correo electrónico comunica a los responsables ratificando e indicando  de forma exacta las fechas para dar oportuno cumplimiento al deber u obligación. Si la información no es trasmitida por los responsables se informa al Director (a) General. Evidencia correo electrónico y certificación de soporte de trasmisión de información</t>
  </si>
  <si>
    <t>E05-R01</t>
  </si>
  <si>
    <t>(E-05)
Gestión de las Tecnologías de la Información</t>
  </si>
  <si>
    <t>Posibilidad de afectación económica y reputacional por el uso de software obsoleto o desactualizado para la operación de los procesos del INM debido a fallas en la administración del software implementado.</t>
  </si>
  <si>
    <t>Incompatibilidad del software con aplicaciones que están diseñadas para trabajar solamente con versiones actualizadas
No se detecta a tiempo y/o no se comunica oportunamente a la OIDT la necesidad de mantenimiento, ajuste o mejora de los software utilizados en los diferentes procesos de la entidad</t>
  </si>
  <si>
    <t>Fallas en la administración del software implementado</t>
  </si>
  <si>
    <t>El profesional asignado por el Jefe de la OIDT hace seguimiento a través del inventario de software implementado en el INM con el fin de evitar el uso no intencionado de software desactualizado e identificar necesidades de actualización del mismo
La OIDT cuenta con el procedimiento Atención de Requerimientos de Mantenimiento de Software (E-05-P-001) donde establece los criterios para la presentación, estudio y atención de requerimientos de mantenimiento, ajuste o mejoramiento de aplicativos de software desarrollados por el INM</t>
  </si>
  <si>
    <t>E05-R02</t>
  </si>
  <si>
    <t>Posibilidad de afectación económica y reputacional por el uso de hardware obsoleto o desactualizado para la operación de los procesos del INM debido a una baja gestión en el seguimiento y control del estado del hardware utilizado</t>
  </si>
  <si>
    <t>Se encuentra vencido el ciclo de vida de equipos de cómputo, impresoras, servidores, telefonía, switches y demás elementos tecnológicos</t>
  </si>
  <si>
    <t xml:space="preserve">
Baja gestión en el seguimiento y control del estado del hardware utilizado</t>
  </si>
  <si>
    <t>El profesional asignado por el Jefe de la OIDT revisa el inventario del hardware del INM donde se evidencian los ciclos de vida de los equipos y elementos tecnológicos con el fin de visualizar el soporte y periodo de vida de los equipos informáticos</t>
  </si>
  <si>
    <t>No se detecta a tiempo y/o no se comunica oportunamente a la OIDT la necesidad de mantenimiento, ajuste o mejora del hardware utilizado en los diferentes procesos de la entidad</t>
  </si>
  <si>
    <t>Baja gestión en el seguimiento y control del estado del hardware utilizado</t>
  </si>
  <si>
    <t>El profesional asignado por el Jefe de la OIDT genera reporte del estado del Hardware utilizado en el INM con el fin de visualizar el soporte y periodo de vida en equipos informáticos</t>
  </si>
  <si>
    <t xml:space="preserve">El contratista designado realiza mantenimiento preventivo a la infraestructura tecnológica del INM anualmente con el fin de detectar la necesidad de mantenimiento, ajuste o mejora del hardware utilizado en los diferentes procesos de la entidad
La OIDT cuenta con el procedimiento gestión de Incidentes y Requerimientos de Servicios de TI (E-05-P-003) que especifica el proceso para comunicar de manera oportuna a la Mesa de Servicio del INM  la necesidad de mantenimiento, ajuste o mejora del hardware utilizado en los diferentes procesos de la entidad </t>
  </si>
  <si>
    <t>E05-R03</t>
  </si>
  <si>
    <t>Posibilidad de afectación económica y reputacional por inexistencia de soporte técnico para las herramientas tecnológicas del INM debido a la baja planificación y control sobre la infraestructura tecnológica de la entidad</t>
  </si>
  <si>
    <t>La entidad no cuenta con personal suficiente que brinde soporte técnico
El INM cuenta con herramientas tecnológicas obsoletas
No se cuenta con soporte técnico externo para algunas herramientas tecnológicas
No se tiene un inventario de las herramientas tecnológicas con las que cuenta el INM</t>
  </si>
  <si>
    <t>Baja planificación y control sobre la infraestructura tecnológica de la entidad</t>
  </si>
  <si>
    <t>El profesional asignado por el Jefe de la OIDT define y actualiza dentro de su proceso de TI, políticas de soporte para las herramientas tecnológicas del INM con el fin de mejorar la planificación en cuanto al soporte</t>
  </si>
  <si>
    <t>E05-R05</t>
  </si>
  <si>
    <t>Posibilidad de afectación económica y reputacional por fallas en los aplicativos del INM debido a que no se garantizan los requisitos mínimos (infraestructura, seguridad de la información, requerimientos de software) durante el desarrollo de estos.</t>
  </si>
  <si>
    <t>No evaluar y aprobar de manera correcta los desarrollos de software.</t>
  </si>
  <si>
    <t>No se garantizan los requisitos mínimos (infraestructura, seguridad de la información, requerimientos de software) durante el desarrollo de los aplicativos de la entidad</t>
  </si>
  <si>
    <t>El profesional asignado por el Jefe de la OIDT, cada vez que se realiza un cambio o desarrollo nuevo, configura los ambientes de desarrollo y pruebas en el servidor de aplicaciones principal y alterno, restringe el acceso a la Información y actualiza y mantiene el sistema de respaldo (Backups) de los aplicativos de la entidad con el fin de mitigar las fallas de los aplicativos en los ambientes de producción
La OIDT cuenta con el instructivo metodología para el Ciclo de Vida de Desarrollo de Software de INM (E-05-I-021) donde se establecen los requisitos para evaluar y aprobar de manera correcta los requisitos mínimos para el desarrollo de software</t>
  </si>
  <si>
    <t>Daños físicos sobre la infraestructura tecnológica</t>
  </si>
  <si>
    <t xml:space="preserve">El profesional asignado por el Jefe de la OIDT ubica y protege los equipos tecnológicos, elementos de protección y control ambiental e implementa un perímetro de seguridad física de los mismos y realiza seguimiento mensual </t>
  </si>
  <si>
    <t xml:space="preserve"> Ataques informáticos</t>
  </si>
  <si>
    <t xml:space="preserve">El profesional especializado asignado por el Jefe de la OIDT garantiza el soporte y atención de las posibles fallas que se puedan presentar en los aplicativos desarrollados en el INM y los desarrollados por terceros y garantiza que se cuente con manuales de los aplicativos y/o documentos equivalentes que ayuden a dar soporte debido a algún incidente o falla </t>
  </si>
  <si>
    <t>E05-R06</t>
  </si>
  <si>
    <t>Posibilidad de afectación reputacional por acceso de personal no autorizado a sistemas de información, servicios tecnológicos e infraestructura tecnológica del INM debido al uso incorrecto por parte de los usuarios de las credenciales asignadas por la entidad y por Phishing (Suplantación)</t>
  </si>
  <si>
    <t>Ausencia de Políticas de Contraseñas Seguras
Ausencia o Desconocimiento de Políticas de Seguridad de la Información
Ausencia de Controles de Acceso</t>
  </si>
  <si>
    <t xml:space="preserve">Uso incorrecto por parte de los usuarios de las credenciales asignadas por el instituto </t>
  </si>
  <si>
    <t>El Profesional de Seguridad de la información concientiza a los usuarios en el uso adecuado de las credenciales asignadas por el INM, con el fin de mitigar fallas en seguridad de la información 
La OIDT cuenta con el procedimiento Administración de Usuarios para Servicios y Sistemas de información (E-05-002) donde se establecen los Controles de Acceso a la Información</t>
  </si>
  <si>
    <t>E05-R08</t>
  </si>
  <si>
    <t xml:space="preserve">Posibilidad de afectación reputacional por intermitencias en la prestación de servicios de TI prestados por terceros debido al incumplimiento de las obligaciones contractuales  </t>
  </si>
  <si>
    <t>Desconocimiento del proceso de contratación
Ausencia o desconocimiento de los controles a aplicar a terceros
La supervisores de contrato no realizan un adecuado seguimiento a los contratistas
No se contratan terceros idóneos que satisfagan las necesidades de la entidad</t>
  </si>
  <si>
    <t xml:space="preserve">Incumplimiento de las obligaciones 
contractuales </t>
  </si>
  <si>
    <t>Fraude Externo</t>
  </si>
  <si>
    <t>Los supervisores de contrato realizan mensualmente seguimiento de los acuerdos de servicio establecidos (ANS) con las herramientas de monitoreo correspondientes, a los servicios críticos "internet, correo" prestados por terceros (obligaciones contractuales), con el fin de monitorear la calidad de los servicios.
Para la contratación y seguimiento de los contratistas, todos los procesos de la entidad aplican lo establecido en el proceso de Contratación.</t>
  </si>
  <si>
    <t>E05-R09</t>
  </si>
  <si>
    <t xml:space="preserve">Posibilidad de afectación económica por exposición (daño o pérdida) de dispositivos informáticos a condiciones e instalaciones inadecuadas debido a la baja gestión en el seguimiento y control de los mismos. </t>
  </si>
  <si>
    <t>Falta o incumplimiento de políticas y buenas prácticas
Desconocimiento por parte de los colaboradores del INM de las buenas prácticas para el uso de los dispositivos informáticos</t>
  </si>
  <si>
    <t>Baja gestión en el seguimiento y control de los dispositivos informáticos</t>
  </si>
  <si>
    <t>E05-R10</t>
  </si>
  <si>
    <t xml:space="preserve">Posibilidad de afectación económica por la incorporación de tecnología en los diferentes procesos del INM que no cumplen con los requerimientos para garantizar la conectividad con la plataforma tecnológica existente debido a que no existe una adecuada interrelación entre los diferentes procesos de la entidad con la OIDT </t>
  </si>
  <si>
    <t>No se informa a la OIDT antes y durante la contratación y/o adquisición de equipos, infraestructura tecnológica, licenciamientos y desarrollos vulnerables
No evaluar y aprobar de manera correcta la adquisición de nuevas tecnologías</t>
  </si>
  <si>
    <t>No existe una adecuada interrelación entre los diferentes procesos de la entidad con la OIDT</t>
  </si>
  <si>
    <t>El profesional asignado por el Jefe de la OIDT, atiende las solicitudes de nuevos proyectos con el fin de evitar la adquisición de sistemas no compatibles  
La OIDT cuenta con el procedimiento Atención de Requerimientos de Mantenimiento de Software (E-05-P-001) donde establece los criterios para la presentación, estudio y atención de requerimientos de mantenimiento, ajuste o mejoramiento de aplicativos de software desarrollados por el INM y el instructivo metodología para el Ciclo de Vida de Desarrollo de Software de INM (E-05-I-021) donde se establecen los requisitos para evaluar y aprobar de manera correcta los requisitos mínimos para el desarrollo de software</t>
  </si>
  <si>
    <t>E05-R11</t>
  </si>
  <si>
    <t>Posibilidad de afectación económica y reputacional por imposibilidad de recuperación de información en los diferentes procesos de la entidad debido al poco control sobre las directrices descritas en los procedimientos, instructivos y/o guías establecidas en el proceso de TI</t>
  </si>
  <si>
    <t>Desconocimiento u omisión de las Políticas de Seguridad de la Información y Buenas Prácticas de almacenamiento y respaldo de información establecidas en el INM
No hay continuidad de los procesos al existir alta rotación del personal (colaboradores y contratistas del INM)</t>
  </si>
  <si>
    <t>Poco control sobre las directrices descritas en los procedimientos, instructivos y/o guías establecidas en el proceso de TI</t>
  </si>
  <si>
    <t>El profesional de Seguridad de la información  refuerza el conocimiento y  aplicación de políticas y buenas prácticas de respaldo de la información con el fin de minimizar el riesgo de pérdida de  información 
El profesional asignado por el Jefe de la OIDT realiza copias de respaldo de la información de acuerdo con lo establecido en el procedimiento Backups y  Restauración de Información en Equipos de Cómputo y Servidores (E-05-P-002)</t>
  </si>
  <si>
    <t>E05-R12</t>
  </si>
  <si>
    <t>Posibilidad de afectación reputacional por atención de requerimientos de TI y  habilitación de roles de acceso a la información por fuera del perfil del usuario debido al poco control sobre las directrices descritas en los procedimientos, instructivos y/o guías establecidas en el proceso de TI</t>
  </si>
  <si>
    <t>Roles no actualizados
Inconformismos y/o intereses particulares 
Falta o incumplimiento de políticas</t>
  </si>
  <si>
    <t xml:space="preserve">El profesional de Seguridad de la Información define e implementa políticas para la seguridad de la información y la  documentación asociada a los controles de acceso con el fin de habilitar los roles de acceso dentro del perfil de usuario a través de las políticas de seguridad de la información y el protocolo respectivo
La OIDT cuenta con el procedimiento Administración de Usuarios para Servicios y Sistemas de información (E-05-002) donde se establece el proceso a seguir para la habilitación de roles de acceso a la información       </t>
  </si>
  <si>
    <t>E05-R13</t>
  </si>
  <si>
    <t>Posibilidad de afectación reputacional por no dar respuesta oportuna a  los incidentes y requerimientos de servicios de TI, reportados por los usuarios internos a la Mesa de Servicio del INM debido a una mala gestión de los Incidentes y Requerimientos de TI por parte del líder de la Mesa de Servicio</t>
  </si>
  <si>
    <t>Clasificación errada (grupo, categoría y subcategoría) del incidente o requerimiento por parte del personal de la mesa de servicio
No se hace seguimiento al trabajo realizado por lo técnicos a los cuales se les asignan los casos
Mal uso de la herramienta GLPI</t>
  </si>
  <si>
    <t>Mala gestión de los Incidentes y Requerimientos de TI por parte del líder de 
la Mesa de Servicio</t>
  </si>
  <si>
    <t>Los profesionales de la Mesa de Servicio resuelven los incidentes y/o requerimientos de servicio de TI,  de acuerdo con los ANS establecidos por la entidad en el Anexo 2 Matriz de Prioridad, Escalamiento y Tiempos de Respuesta del procedimiento 
E-05-P-003 Gestión de Incidentes y Requerimientos de Servicios de TI
Los incidentes o requerimientos son tratados y resueltos por medio de la Mesa de Servicio mediante la herramienta GLPI la cual se encuentra debidamente parametrizada</t>
  </si>
  <si>
    <t>E05-R14</t>
  </si>
  <si>
    <t>Posibilidad de afectación económica y reputacional por afectación en la Seguridad de la Información al realizarse trabajo en casa debido a  la falta o incumplimiento de políticas y buenas prácticas de Seguridad de la información relacionadas con el Trabajo en Casa.</t>
  </si>
  <si>
    <t>Pérdida o daño de los computadores utilizados por los funcionarios para desarrollar actividades de trabajo en casa. 
No se tiene control sobre el manejo que dan los colaboradores del INM a la información
Algunos colaboradores y contratistas de la entidad deben utilizar los computadores personales</t>
  </si>
  <si>
    <t>Falta o incumplimiento de políticas y buenas prácticas de Seguridad de la información relacionadas con el Trabajo en Casa</t>
  </si>
  <si>
    <t>El Profesional de Seguridad de la Información concientiza a los usuarios sobre los riesgos de pérdida o daño de los computadores utilizados por los funcionarios para desarrollar actividades de trabajo en casa</t>
  </si>
  <si>
    <t>El Profesional de Seguridad de la Información periódicamente concientiza a los usuarios sobre buenas prácticas de Seguridad de la Información relacionadas con el Trabajo en Casa</t>
  </si>
  <si>
    <t>E05-R15</t>
  </si>
  <si>
    <t>Posibilidad de afectación económica y reputacional al realizarse una inadecuada Calificación de la Confidencialidad, Integridad y Disponibilidad de la Información en la gestión de los Activos de información debido a una errónea identificación, clasificación y valoración del activo de información por parte del dueño y custodios de los activos de información</t>
  </si>
  <si>
    <t>Desconocimiento por parte de los colaboradores del INM de las directrices establecidas por la entidad para la calificación de los activos de información
Falta de compromiso por parte de los procesos de la entidad en la calificación de los activos de información
Falta de liderazgo por parte del Profesional de Seguridad de la Información</t>
  </si>
  <si>
    <t>Errónea identificación, clasificación y valoración del activo de información por parte del dueño y custodios de los activos de información</t>
  </si>
  <si>
    <t>El Profesional de Seguridad de la Información capacita a todo el personal del INM sobre la clasificación y valoración de los activos de Información con el fin de mitigar las fallas en la identificación y valoración de los mismos. 
La OIDT cuenta con el procedimiento Gestión de Activos de información 
( E-05-P-004) en el cual se establecen los  lineamientos y actividades necesarias para la gestión de activos de información dentro del marco de seguridad y privacidad de la información del INM</t>
  </si>
  <si>
    <t>E05-R16</t>
  </si>
  <si>
    <t xml:space="preserve">Posibilidad de afectación económica y reputacional al afectarse la Seguridad de la información de la entidad (integridad, disponibilidad y confidencialidad) debido a no contar con licencias suficientes para asignar Google Suite a todos los colaboradores del INM </t>
  </si>
  <si>
    <t>Aumento inesperado de contratistas para la vigencia 2022
No existe una adecuada interrelación entre los diferentes procesos de la entidad con la OIDT
Algunos colaboradores y contratistas de la entidad utilizan los computadores personales</t>
  </si>
  <si>
    <t>No se cuenta con licencias suficientes para otorgar dentro de la Suite de Google las cuentas de correo a los colaboradores del INM</t>
  </si>
  <si>
    <t>Cuando ingresa personal a la entidad, el supervisor del contrato, jefe de oficina o subdirector solicita todas las credenciales necesarias por el colaborador para el desempeño de su labor, entre esas la cuenta de Google, de acuerdo con lo descrito en el procedimiento Administración de Usuarios para Servicios y Sistemas de información (E-05-002)</t>
  </si>
  <si>
    <t>CATÁLOGO INDICATIVO DE PUNTOS DE RIESGO FISCAL</t>
  </si>
  <si>
    <t>Id Referencia </t>
  </si>
  <si>
    <r>
      <t>Puntos de Riesgo Fiscal</t>
    </r>
    <r>
      <rPr>
        <sz val="10"/>
        <rFont val="Arial Narrow"/>
        <family val="2"/>
      </rPr>
      <t> </t>
    </r>
  </si>
  <si>
    <r>
      <t>Circunstancia Inmediata</t>
    </r>
    <r>
      <rPr>
        <sz val="10"/>
        <rFont val="Arial Narrow"/>
        <family val="2"/>
      </rPr>
      <t> </t>
    </r>
  </si>
  <si>
    <r>
      <t>Actividad en la que potencialmente se origina el riesgo fiscal</t>
    </r>
    <r>
      <rPr>
        <sz val="10"/>
        <rFont val="Arial Narrow"/>
        <family val="2"/>
      </rPr>
      <t> </t>
    </r>
  </si>
  <si>
    <r>
      <t xml:space="preserve">Situación </t>
    </r>
    <r>
      <rPr>
        <b/>
        <i/>
        <u/>
        <sz val="10"/>
        <color rgb="FF000000"/>
        <rFont val="Arial Narrow"/>
        <family val="2"/>
      </rPr>
      <t>por la que</t>
    </r>
    <r>
      <rPr>
        <i/>
        <sz val="10"/>
        <color rgb="FF000000"/>
        <rFont val="Arial Narrow"/>
        <family val="2"/>
      </rPr>
      <t xml:space="preserve"> se presenta el riesgo</t>
    </r>
    <r>
      <rPr>
        <sz val="10"/>
        <color rgb="FF000000"/>
        <rFont val="Arial Narrow"/>
        <family val="2"/>
      </rPr>
      <t> </t>
    </r>
  </si>
  <si>
    <t>1 </t>
  </si>
  <si>
    <t>Cumplimiento de las normas y obligaciones ante autoridades   </t>
  </si>
  <si>
    <t>Pago de multas, cláusulas penales o cualquier tipo de sanción </t>
  </si>
  <si>
    <t>2 </t>
  </si>
  <si>
    <t>Cumplimiento de obligaciones  </t>
  </si>
  <si>
    <t>Pago de Intereses moratorios </t>
  </si>
  <si>
    <t>3 </t>
  </si>
  <si>
    <t>Desplazamientos de los funcionarios y de los contratistas a lugares diferentes al domicilio de la entidad.   </t>
  </si>
  <si>
    <t>Pago de viáticos, honorarios o gastos de desplazamiento sin justificación o por encima de los valores establecidos normativamente </t>
  </si>
  <si>
    <t>4 </t>
  </si>
  <si>
    <t>Liquidación de impuestos </t>
  </si>
  <si>
    <t>Mayor valor pagado por concepto de impuestos </t>
  </si>
  <si>
    <t>5 </t>
  </si>
  <si>
    <t>Operaciones, actas o actos en los que se reconocen saldos a favor de la entidad  </t>
  </si>
  <si>
    <t>Saldos o recursos a favor no cobrados </t>
  </si>
  <si>
    <t>6 </t>
  </si>
  <si>
    <t>Custodiar de los bienes muebles de la entidad </t>
  </si>
  <si>
    <t>Pérdida, extravío, hurto, robo o declaratoria de bienes faltantes pertenecientes a la Entidad </t>
  </si>
  <si>
    <t>7 </t>
  </si>
  <si>
    <t>Avalúos a bienes inmuebles de la entidad  </t>
  </si>
  <si>
    <t>Error en los avalúos, afectando el valor de venta y/o negociación de un bien público </t>
  </si>
  <si>
    <t>8 </t>
  </si>
  <si>
    <t>Daño en bienes muebles de propiedad de la entidad </t>
  </si>
  <si>
    <t>9 </t>
  </si>
  <si>
    <t>Suscripción de contratos cuyo objeto es o incluye la representación judicial o extrajudicial de la entidad   </t>
  </si>
  <si>
    <t>Valor pagado por concepto de honorarios de apoderado cuando ocurre vencimiento de términos en los procesos judiciales o cualquier otra omisión del apoderado </t>
  </si>
  <si>
    <t>10 </t>
  </si>
  <si>
    <t>Pago de sentencias y conciliaciones  </t>
  </si>
  <si>
    <t>Intereses moratorios por pago tardío de sentencias y conciliaciones </t>
  </si>
  <si>
    <t>11 </t>
  </si>
  <si>
    <t>Instrucción del Comité de Conciliación para iniciar acción de repetición  </t>
  </si>
  <si>
    <t>Caducidad de la acción de repetición o falencias en el ejercicio de esta acción, generando la imposibilidad de recuperar los recursos pagados por el Estado </t>
  </si>
  <si>
    <t>12 </t>
  </si>
  <si>
    <t>Informe que acredite o anuncie la existencia de perjuicios generados a la entidad  </t>
  </si>
  <si>
    <t>Omisión en la obligación de impulsar acción judicial para cobrar clausula penal u otros perjuicios  </t>
  </si>
  <si>
    <t>13 </t>
  </si>
  <si>
    <t>Contratación de bienes o servicios  </t>
  </si>
  <si>
    <t>Contratación de bienes y servicios no relacionados con las funciones de la Entidad y que no generan utilidad  </t>
  </si>
  <si>
    <t>14 </t>
  </si>
  <si>
    <t>Contratación de bienes  </t>
  </si>
  <si>
    <t>Compra o inversión en bienes innecesarios o suntuosos </t>
  </si>
  <si>
    <t>15 </t>
  </si>
  <si>
    <t>Contratación de estudios y diseños  </t>
  </si>
  <si>
    <t>Estudios y diseños recibidos y pagados y que no cumplen condiciones de calidad </t>
  </si>
  <si>
    <t>16 </t>
  </si>
  <si>
    <t>Suscripción de contratos de estudios y diseños </t>
  </si>
  <si>
    <t>Estudios y diseños con amparo de calidad vencido al momento de contratar la obra y/o al momento de la ocurrencia </t>
  </si>
  <si>
    <t>17 </t>
  </si>
  <si>
    <t>Suscripción de contratos </t>
  </si>
  <si>
    <t>Sobrecostos en precios contractuales  </t>
  </si>
  <si>
    <t>18 </t>
  </si>
  <si>
    <t>Pagos efectuados a causa de riesgos previsibles que debieron ser asignados al contratista en la matriz de riesgos previsibles y no se le asignaron     </t>
  </si>
  <si>
    <t>19 </t>
  </si>
  <si>
    <t>No incluir en el contrato de seguros -amparo de bienes de la entidad- todos los bienes muebles e inmuebles de la entidad  </t>
  </si>
  <si>
    <t>20 </t>
  </si>
  <si>
    <t>No exigir garantía única de cumplimiento contractual  </t>
  </si>
  <si>
    <t>21 </t>
  </si>
  <si>
    <t>Suscripción de contratos respecto de los cuales la ley establece un cubrimiento mínimo en los amparos de la garantía única de cumplimiento  </t>
  </si>
  <si>
    <t>Exigir garantía única de cumplimiento contractual con un cubrimiento inferior al exigido por la ley  </t>
  </si>
  <si>
    <t>22 </t>
  </si>
  <si>
    <t>Pagos efectuados a contratistas  </t>
  </si>
  <si>
    <t>Pagar bienes, servicios u obras a pesar de no cumplir las condiciones de calidad.  </t>
  </si>
  <si>
    <t>23 </t>
  </si>
  <si>
    <t>Constancias de recibo a satisfacción de bienes, servicios u obras, firmadas por supervisor o interventor  </t>
  </si>
  <si>
    <t>Bienes, servicios u obras inconclusos, infuncionales y/o que no brindan utilidad o beneficio </t>
  </si>
  <si>
    <t>24 </t>
  </si>
  <si>
    <t> Modificaciones contractuales firmadas  </t>
  </si>
  <si>
    <t>Modificaciones contractuales cuyas causas son imputables al contratista total o parcialmente y cuyos costos colaterales asume la Entidad contratante </t>
  </si>
  <si>
    <t>25 </t>
  </si>
  <si>
    <t>Giros efectuados por concepto de anticipo contractual  </t>
  </si>
  <si>
    <t>Mal manejo o fallas en la legalización de anticipos, no amortización del anticipo </t>
  </si>
  <si>
    <t>26 </t>
  </si>
  <si>
    <t>Giros efectuados por concepto de anticipo contractual </t>
  </si>
  <si>
    <t>Rendimientos financieros de recursos de anticipo o de cualquier recurso público no devueltos al tesoro público </t>
  </si>
  <si>
    <t>27 </t>
  </si>
  <si>
    <t>Reconocimiento y pago de desequilibrio contractual </t>
  </si>
  <si>
    <t>Reconocimiento y pago de desequilibrio contractual por causa imputable a la Entidad </t>
  </si>
  <si>
    <t>28 </t>
  </si>
  <si>
    <t>Firma de actas contractuales de recibo parcial o final  </t>
  </si>
  <si>
    <t>Errores o imprecisiones en las actas de recibo parcial o final </t>
  </si>
  <si>
    <t>29 </t>
  </si>
  <si>
    <t>Firma de adiciones de ítems, actividades o productos no previstos (contratos adicionales) </t>
  </si>
  <si>
    <t>Adición de ítem, actividad o producto no previsto sin estudio de mercado y/o con sobrecosto </t>
  </si>
  <si>
    <t>30 </t>
  </si>
  <si>
    <t>Firma de adiciones de ítems, actividades o productos inicialmente previstos (adiciones) </t>
  </si>
  <si>
    <t>Mayores cantidades reconocidas y pagadas con valores unitarios superiores al pactado en el contrato </t>
  </si>
  <si>
    <t>31 </t>
  </si>
  <si>
    <t>Actos administrativos sancionatorios contractuales emitidos y ejecutoriados  </t>
  </si>
  <si>
    <t>Cuantificación errada de multa o clausula penal  </t>
  </si>
  <si>
    <t>32 </t>
  </si>
  <si>
    <t>Obras recibidas a satisfacción  </t>
  </si>
  <si>
    <t>Colapso o fallas en la estabilidad de la obra </t>
  </si>
  <si>
    <t>33 </t>
  </si>
  <si>
    <t>Pagos finales efectuados a contratistas </t>
  </si>
  <si>
    <t>Ejecución de un alcance inferior al contratado y pago total del contrato </t>
  </si>
  <si>
    <t>34 </t>
  </si>
  <si>
    <t>Actas de recibo final a satisfacción firmadas  </t>
  </si>
  <si>
    <t>Infuncionalidad de lo ejecutado </t>
  </si>
  <si>
    <t>35 </t>
  </si>
  <si>
    <t>Contratos finalizados  </t>
  </si>
  <si>
    <t>Bienes, servicios u obras inconclusas y/o que no brindan utilidad o beneficio </t>
  </si>
  <si>
    <t>36 </t>
  </si>
  <si>
    <t>Inadecuada deducción de impuestos, tasas o contribuciones al contratista  </t>
  </si>
  <si>
    <t>37 </t>
  </si>
  <si>
    <t>Pagos por concepto de comisión a éxito  </t>
  </si>
  <si>
    <t>Pago de comisiones a éxito sin debida justificación </t>
  </si>
  <si>
    <t>38 </t>
  </si>
  <si>
    <t>Actas de liquidación suscritas  </t>
  </si>
  <si>
    <t>Suscripción de acta de liquidación con imprecisiones de fondo </t>
  </si>
  <si>
    <t>39 </t>
  </si>
  <si>
    <t>Actas de liquidación suscritas </t>
  </si>
  <si>
    <t>Suscripción de acta de liquidación sin relacionar las sanciones impuestas al contratistas  </t>
  </si>
  <si>
    <t>40 </t>
  </si>
  <si>
    <t>Contratos finalizados en los que se contemplaba o requería liquidación. </t>
  </si>
  <si>
    <t>Pérdida de competencia para liquidar por vencimiento del plazo legal, con saldos a favor de la Entidad </t>
  </si>
  <si>
    <t>41 </t>
  </si>
  <si>
    <t>Liquidación de mutuo acuerdo con recibo a satisfacción, habiendo imprecisiones o falsedades </t>
  </si>
  <si>
    <t>42 </t>
  </si>
  <si>
    <t>Bienes u obras recibidas a satisfacción  </t>
  </si>
  <si>
    <t>Deterioro del bien u obra por indebido mantenimiento </t>
  </si>
  <si>
    <t>43 </t>
  </si>
  <si>
    <t>Actas de recibo final a satisfacción firmadas </t>
  </si>
  <si>
    <t>Suscripción de acta de recibo final  con imprecisiones de fondo </t>
  </si>
  <si>
    <t>Reintegro de saldos a favor de la entidad o pagos por parte de deudores  </t>
  </si>
  <si>
    <t>Reintegro de saldos a favor de la entidad sin indexación (reintegro sin actualización del dinero en el tiempo) </t>
  </si>
  <si>
    <t>44 </t>
  </si>
  <si>
    <t>Predios adquiridos  </t>
  </si>
  <si>
    <t>Adquisición de predios sin las especificaciones técnicas requeridas </t>
  </si>
  <si>
    <t>45 </t>
  </si>
  <si>
    <t>Pérdida de tenencia de bienes de la entidad  </t>
  </si>
  <si>
    <t>Pérdida de la tenencia de bienes inmuebles de la Entidad </t>
  </si>
  <si>
    <t>46 </t>
  </si>
  <si>
    <t>Pago de subsidios, transferencias o beneficios a particulares  </t>
  </si>
  <si>
    <t>Bases de datos con falencias de información que genera pagos de subsidios u otros beneficios sin el cumplimiento de requisitos y condiciones </t>
  </si>
  <si>
    <t>47 </t>
  </si>
  <si>
    <t>Pago de subsidios, transferencias o beneficios a particulares </t>
  </si>
  <si>
    <t>Pago de subsidio u otros beneficios a personas fallecidas </t>
  </si>
  <si>
    <t>48 </t>
  </si>
  <si>
    <t>Pago de subsidios u otros beneficios a personas que no tienen derecho a los mismos a la luz de requisitos de ley </t>
  </si>
  <si>
    <t>49 </t>
  </si>
  <si>
    <t>Pago de subsidios por encima del beneficio otorgado </t>
  </si>
  <si>
    <t>50 </t>
  </si>
  <si>
    <t>Deudas a favor de la entidad  </t>
  </si>
  <si>
    <t>Vencimiento de plazos para la labor de cobro directo (persuasivo o coactivo) o judicial  </t>
  </si>
  <si>
    <t>Formulación del plan de contingencia</t>
  </si>
  <si>
    <t>ID</t>
  </si>
  <si>
    <t>Catálogo indicativo y enunciativo para riesgos fiscales</t>
  </si>
  <si>
    <r>
      <rPr>
        <b/>
        <sz val="11"/>
        <color rgb="FF000000"/>
        <rFont val="Arial Narrow"/>
        <family val="2"/>
      </rPr>
      <t xml:space="preserve">Impacto  
¿Qué?:
</t>
    </r>
    <r>
      <rPr>
        <sz val="11"/>
        <color rgb="FF000000"/>
        <rFont val="Arial Narrow"/>
        <family val="2"/>
      </rPr>
      <t>Las consecuencias que puede ocasionar al INM materialización del riesgo.</t>
    </r>
    <r>
      <rPr>
        <b/>
        <sz val="11"/>
        <color rgb="FF000000"/>
        <rFont val="Arial Narrow"/>
        <family val="2"/>
      </rPr>
      <t xml:space="preserve"> </t>
    </r>
  </si>
  <si>
    <r>
      <t xml:space="preserve">Causa inmediata ¿Cómo?:
</t>
    </r>
    <r>
      <rPr>
        <sz val="11"/>
        <color theme="1"/>
        <rFont val="Arial Narrow"/>
        <family val="2"/>
      </rPr>
      <t>Circunstancias bajo las cuales se presenta el riesgo, pero no
constituyen la causa principal o base para que se presente el riesgo.</t>
    </r>
  </si>
  <si>
    <r>
      <t xml:space="preserve">Causa raíz ¿Por qué?: 
</t>
    </r>
    <r>
      <rPr>
        <sz val="11"/>
        <color theme="1"/>
        <rFont val="Arial Narrow"/>
        <family val="2"/>
      </rPr>
      <t xml:space="preserve">Causa principal o básica,
corresponde a las razones por la cual se puede presentar el riesgo
</t>
    </r>
  </si>
  <si>
    <r>
      <t xml:space="preserve">Descripción del Riesgo. </t>
    </r>
    <r>
      <rPr>
        <sz val="11"/>
        <color theme="1"/>
        <rFont val="Arial Narrow"/>
        <family val="2"/>
      </rPr>
      <t>Efecto dañoso que se causa sobre los objetivos del INM, debido a eventos potenciales.</t>
    </r>
  </si>
  <si>
    <t>Descrpción de la acción</t>
  </si>
  <si>
    <t xml:space="preserve">Acciones que se formulan a seguir, para el evento en que se materialice el riesgo, en tanto se reestablece su estado natural el desarrollo de la actividad </t>
  </si>
  <si>
    <r>
      <t xml:space="preserve">Puntos de riesgo fiscal </t>
    </r>
    <r>
      <rPr>
        <sz val="12"/>
        <rFont val="Arial"/>
        <family val="2"/>
      </rPr>
      <t>Registre el(os) número (s) del Cátalogo de puntos riesgo fiscal</t>
    </r>
  </si>
  <si>
    <r>
      <t>Circunstancia inmediata</t>
    </r>
    <r>
      <rPr>
        <sz val="12"/>
        <rFont val="Arial"/>
        <family val="2"/>
      </rPr>
      <t xml:space="preserve">  Registre el (os) número (s) del Cátalogo de puntos riesgo fiscal</t>
    </r>
  </si>
  <si>
    <t>A01-RF1</t>
  </si>
  <si>
    <t>1,2,3,4,5,9,10,25,26,36,43</t>
  </si>
  <si>
    <t xml:space="preserve">Por el requerimiento de oficios de justificación con relación a los soportes de pagos o liquidaciones realizadas por parte  cualquiera de los entes de control, fiscalización, proveedores o contratistas. </t>
  </si>
  <si>
    <t xml:space="preserve">Hacer omisión a la normatividad vigente para los plazos, descuentos o pagos tributarios que se deban realizar por parte del instituto. </t>
  </si>
  <si>
    <t xml:space="preserve">Posibilidad de efecto dañoso sobre los recursos del INM en el  desarrollo de las actividades del proceso de gestión financiera, sin el cumplimiento de los requisitos y no ejecutar los controles establecidos en la normatividad vigente por parte del grupo de gestión financiera. </t>
  </si>
  <si>
    <t>Ejecución y administración de procesos</t>
  </si>
  <si>
    <t>Fiscal</t>
  </si>
  <si>
    <r>
      <rPr>
        <b/>
        <sz val="10"/>
        <color rgb="FF000000"/>
        <rFont val="Arial Narrow"/>
        <family val="2"/>
      </rPr>
      <t>Control 1</t>
    </r>
    <r>
      <rPr>
        <sz val="10"/>
        <color rgb="FF000000"/>
        <rFont val="Arial Narrow"/>
        <family val="2"/>
      </rPr>
      <t xml:space="preserve">: Revisar en SECOP o los documentos asociados a la solicitud de pago contra la matriz base de obligaciones contables. 
</t>
    </r>
    <r>
      <rPr>
        <b/>
        <sz val="10"/>
        <color rgb="FF000000"/>
        <rFont val="Arial Narrow"/>
        <family val="2"/>
      </rPr>
      <t>Responsable:</t>
    </r>
    <r>
      <rPr>
        <sz val="10"/>
        <color rgb="FF000000"/>
        <rFont val="Arial Narrow"/>
        <family val="2"/>
      </rPr>
      <t xml:space="preserve"> Profesional universitario 1 con funciones de contabilidad.
</t>
    </r>
    <r>
      <rPr>
        <b/>
        <sz val="10"/>
        <color rgb="FF000000"/>
        <rFont val="Arial Narrow"/>
        <family val="2"/>
      </rPr>
      <t>Periodicidad:</t>
    </r>
    <r>
      <rPr>
        <sz val="10"/>
        <color rgb="FF000000"/>
        <rFont val="Arial Narrow"/>
        <family val="2"/>
      </rPr>
      <t xml:space="preserve"> Cada vez que se radique el pago.
</t>
    </r>
    <r>
      <rPr>
        <b/>
        <sz val="10"/>
        <color rgb="FF000000"/>
        <rFont val="Arial Narrow"/>
        <family val="2"/>
      </rPr>
      <t>Propósito</t>
    </r>
    <r>
      <rPr>
        <sz val="10"/>
        <color rgb="FF000000"/>
        <rFont val="Arial Narrow"/>
        <family val="2"/>
      </rPr>
      <t xml:space="preserve">: Validar que la radicación cuente con todos los documentos y requisitos que se necesitan para la gestión del pago. 
</t>
    </r>
    <r>
      <rPr>
        <b/>
        <sz val="10"/>
        <color rgb="FF000000"/>
        <rFont val="Arial Narrow"/>
        <family val="2"/>
      </rPr>
      <t>¿Cómo se realiza el control?</t>
    </r>
    <r>
      <rPr>
        <sz val="10"/>
        <color rgb="FF000000"/>
        <rFont val="Arial Narrow"/>
        <family val="2"/>
      </rPr>
      <t xml:space="preserve">: Diligenciar la base de datos de obligaciones. 
</t>
    </r>
    <r>
      <rPr>
        <b/>
        <sz val="10"/>
        <color rgb="FF000000"/>
        <rFont val="Arial Narrow"/>
        <family val="2"/>
      </rPr>
      <t>Qué pasa con las observaciones o desviaciones:</t>
    </r>
    <r>
      <rPr>
        <sz val="10"/>
        <color rgb="FF000000"/>
        <rFont val="Arial Narrow"/>
        <family val="2"/>
      </rPr>
      <t xml:space="preserve"> En caso de encontrar inconsistencias en la revisión de los documentos, se devuelve por correo electrónico con las observaciones respectivas para los ajustes correspondientes. 
</t>
    </r>
    <r>
      <rPr>
        <b/>
        <sz val="10"/>
        <color rgb="FF000000"/>
        <rFont val="Arial Narrow"/>
        <family val="2"/>
      </rPr>
      <t>Evidencias o soportes de la ejecución</t>
    </r>
    <r>
      <rPr>
        <sz val="10"/>
        <color rgb="FF000000"/>
        <rFont val="Arial Narrow"/>
        <family val="2"/>
      </rPr>
      <t xml:space="preserve">: Formato Base de datos de obligaciones y correos electrónicos. 
</t>
    </r>
    <r>
      <rPr>
        <b/>
        <sz val="10"/>
        <color rgb="FF000000"/>
        <rFont val="Arial Narrow"/>
        <family val="2"/>
      </rPr>
      <t>Documentado</t>
    </r>
    <r>
      <rPr>
        <sz val="10"/>
        <color rgb="FF000000"/>
        <rFont val="Arial Narrow"/>
        <family val="2"/>
      </rPr>
      <t>: Procedimiento A-01-P-009 Pagos</t>
    </r>
  </si>
  <si>
    <t xml:space="preserve">Actualizar el procedimiento A-01-P-009 	PAGOS haciendo la inclusión del formato base de obligaciones y la descripción respectiva a la ejecución del control 1.  </t>
  </si>
  <si>
    <t xml:space="preserve">Profesional especializado 15 con funciones de tesorería y Profesional especializado 18 con funciones de contador. </t>
  </si>
  <si>
    <t xml:space="preserve">Ingresos de Servicios Metrológicos registrados oportunamente dentro del mes respectivo para la gestión eficiente, oportuna, transparente y permanente de los recursos financieros del INM fortaleciendo la capacidad administrativa y desempeño institucional. </t>
  </si>
  <si>
    <t>No Aplica</t>
  </si>
  <si>
    <r>
      <rPr>
        <b/>
        <sz val="10"/>
        <color rgb="FF000000"/>
        <rFont val="Arial Narrow"/>
        <family val="2"/>
      </rPr>
      <t>Control 2</t>
    </r>
    <r>
      <rPr>
        <sz val="10"/>
        <color rgb="FF000000"/>
        <rFont val="Arial Narrow"/>
        <family val="2"/>
      </rPr>
      <t xml:space="preserve">: Revisar los documentos asociados al pago contra la obligación presupuestal. 
</t>
    </r>
    <r>
      <rPr>
        <b/>
        <sz val="10"/>
        <color rgb="FF000000"/>
        <rFont val="Arial Narrow"/>
        <family val="2"/>
      </rPr>
      <t>Responsable</t>
    </r>
    <r>
      <rPr>
        <sz val="10"/>
        <color rgb="FF000000"/>
        <rFont val="Arial Narrow"/>
        <family val="2"/>
      </rPr>
      <t xml:space="preserve">: Profesional especializado 15 con funciones de tesorería.
</t>
    </r>
    <r>
      <rPr>
        <b/>
        <sz val="10"/>
        <color rgb="FF000000"/>
        <rFont val="Arial Narrow"/>
        <family val="2"/>
      </rPr>
      <t>Periodicidad</t>
    </r>
    <r>
      <rPr>
        <sz val="10"/>
        <color rgb="FF000000"/>
        <rFont val="Arial Narrow"/>
        <family val="2"/>
      </rPr>
      <t xml:space="preserve">: Cada vez que se radique el pago.
</t>
    </r>
    <r>
      <rPr>
        <b/>
        <sz val="10"/>
        <color rgb="FF000000"/>
        <rFont val="Arial Narrow"/>
        <family val="2"/>
      </rPr>
      <t>Propósito</t>
    </r>
    <r>
      <rPr>
        <sz val="10"/>
        <color rgb="FF000000"/>
        <rFont val="Arial Narrow"/>
        <family val="2"/>
      </rPr>
      <t xml:space="preserve">: Validar que la obligación presupuestal y los documentos cuenten con todos los requisitos que se necesitan para la gestión del pago. 
</t>
    </r>
    <r>
      <rPr>
        <b/>
        <sz val="10"/>
        <color rgb="FF000000"/>
        <rFont val="Arial Narrow"/>
        <family val="2"/>
      </rPr>
      <t>¿Cómo se realiza el control?:</t>
    </r>
    <r>
      <rPr>
        <sz val="10"/>
        <color rgb="FF000000"/>
        <rFont val="Arial Narrow"/>
        <family val="2"/>
      </rPr>
      <t xml:space="preserve"> Aprobar la orden pago presupuestal a través de SIIF.  
</t>
    </r>
    <r>
      <rPr>
        <b/>
        <sz val="10"/>
        <color rgb="FF000000"/>
        <rFont val="Arial Narrow"/>
        <family val="2"/>
      </rPr>
      <t xml:space="preserve">Qué pasa con las observaciones o desviaciones: </t>
    </r>
    <r>
      <rPr>
        <sz val="10"/>
        <color rgb="FF000000"/>
        <rFont val="Arial Narrow"/>
        <family val="2"/>
      </rPr>
      <t xml:space="preserve">En caso de encontrar inconsistencias en la revisión de los documentos, se devuelve por correo electrónico con las observaciones respectivas para los ajustes correspondientes. 
</t>
    </r>
    <r>
      <rPr>
        <b/>
        <sz val="10"/>
        <color rgb="FF000000"/>
        <rFont val="Arial Narrow"/>
        <family val="2"/>
      </rPr>
      <t>Evidencias o soportes de la ejecución</t>
    </r>
    <r>
      <rPr>
        <sz val="10"/>
        <color rgb="FF000000"/>
        <rFont val="Arial Narrow"/>
        <family val="2"/>
      </rPr>
      <t xml:space="preserve">: Listado de ordenes de pago en estado aprobado o pagado en SIIF. 
</t>
    </r>
    <r>
      <rPr>
        <b/>
        <sz val="10"/>
        <color rgb="FF000000"/>
        <rFont val="Arial Narrow"/>
        <family val="2"/>
      </rPr>
      <t>Documentado</t>
    </r>
    <r>
      <rPr>
        <sz val="10"/>
        <color rgb="FF000000"/>
        <rFont val="Arial Narrow"/>
        <family val="2"/>
      </rPr>
      <t>: Procedimiento A-01-P-009 Pagos</t>
    </r>
  </si>
  <si>
    <t xml:space="preserve">Actualizar el procedimiento A-01-P-009 	PAGOS con la descripción respectiva a la ejecución del control 2.  </t>
  </si>
  <si>
    <r>
      <rPr>
        <b/>
        <sz val="10"/>
        <color rgb="FF000000"/>
        <rFont val="Arial Narrow"/>
        <family val="2"/>
      </rPr>
      <t>Control 3</t>
    </r>
    <r>
      <rPr>
        <sz val="10"/>
        <color rgb="FF000000"/>
        <rFont val="Arial Narrow"/>
        <family val="2"/>
      </rPr>
      <t xml:space="preserve">: Revisar el Formato de solicitud de Certificado de Disponibilidad Presupuestal.
</t>
    </r>
    <r>
      <rPr>
        <b/>
        <sz val="10"/>
        <color rgb="FF000000"/>
        <rFont val="Arial Narrow"/>
        <family val="2"/>
      </rPr>
      <t>Responsable</t>
    </r>
    <r>
      <rPr>
        <sz val="10"/>
        <color rgb="FF000000"/>
        <rFont val="Arial Narrow"/>
        <family val="2"/>
      </rPr>
      <t xml:space="preserve">: Profesional especializado 16 con funciones de Presupuesto.
</t>
    </r>
    <r>
      <rPr>
        <b/>
        <sz val="10"/>
        <color rgb="FF000000"/>
        <rFont val="Arial Narrow"/>
        <family val="2"/>
      </rPr>
      <t>Periodicidad:</t>
    </r>
    <r>
      <rPr>
        <sz val="10"/>
        <color rgb="FF000000"/>
        <rFont val="Arial Narrow"/>
        <family val="2"/>
      </rPr>
      <t xml:space="preserve"> Cada vez se allegue una solicitud de CDP.
</t>
    </r>
    <r>
      <rPr>
        <b/>
        <sz val="10"/>
        <color rgb="FF000000"/>
        <rFont val="Arial Narrow"/>
        <family val="2"/>
      </rPr>
      <t>Propósito</t>
    </r>
    <r>
      <rPr>
        <sz val="10"/>
        <color rgb="FF000000"/>
        <rFont val="Arial Narrow"/>
        <family val="2"/>
      </rPr>
      <t xml:space="preserve">: Prevenir errores en el diligenciamiento de la solicitud y garantizar la pertinencia en la ejecución de los recursos.
</t>
    </r>
    <r>
      <rPr>
        <b/>
        <sz val="10"/>
        <color rgb="FF000000"/>
        <rFont val="Arial Narrow"/>
        <family val="2"/>
      </rPr>
      <t>¿Cómo se realiza el control?</t>
    </r>
    <r>
      <rPr>
        <sz val="10"/>
        <color rgb="FF000000"/>
        <rFont val="Arial Narrow"/>
        <family val="2"/>
      </rPr>
      <t xml:space="preserve">: Verificar que el formato de solicitud este diligenciado en su totalidad
</t>
    </r>
    <r>
      <rPr>
        <b/>
        <sz val="10"/>
        <color rgb="FF000000"/>
        <rFont val="Arial Narrow"/>
        <family val="2"/>
      </rPr>
      <t>Qué pasa con las observaciones o desviaciones</t>
    </r>
    <r>
      <rPr>
        <sz val="10"/>
        <color rgb="FF000000"/>
        <rFont val="Arial Narrow"/>
        <family val="2"/>
      </rPr>
      <t xml:space="preserve">: En caso de encontrar inconsistencias en la revisión del CDP, se devuelve al área que radicó la solicitud mediante correo electrónico, para que corrija la información.
</t>
    </r>
    <r>
      <rPr>
        <b/>
        <sz val="10"/>
        <color rgb="FF000000"/>
        <rFont val="Arial Narrow"/>
        <family val="2"/>
      </rPr>
      <t>Evidencias o soportes de la ejecución</t>
    </r>
    <r>
      <rPr>
        <sz val="10"/>
        <color rgb="FF000000"/>
        <rFont val="Arial Narrow"/>
        <family val="2"/>
      </rPr>
      <t xml:space="preserve">: A-01-F-001 Solicitud de Certificado de Disponibilidad Presupuestal.
Correo electrónico de aviso de devolución del documento de solicitud.
</t>
    </r>
    <r>
      <rPr>
        <b/>
        <sz val="10"/>
        <color rgb="FF000000"/>
        <rFont val="Arial Narrow"/>
        <family val="2"/>
      </rPr>
      <t xml:space="preserve">Documentado: </t>
    </r>
    <r>
      <rPr>
        <sz val="10"/>
        <color rgb="FF000000"/>
        <rFont val="Arial Narrow"/>
        <family val="2"/>
      </rPr>
      <t xml:space="preserve">A-01-P-002 </t>
    </r>
    <r>
      <rPr>
        <b/>
        <sz val="10"/>
        <color rgb="FF000000"/>
        <rFont val="Arial Narrow"/>
        <family val="2"/>
      </rPr>
      <t xml:space="preserve"> </t>
    </r>
    <r>
      <rPr>
        <sz val="10"/>
        <color rgb="FF000000"/>
        <rFont val="Arial Narrow"/>
        <family val="2"/>
      </rPr>
      <t>EXPEDICIÓN DE CERTIFICADO DE DISPONIBLIDAD PRESUPUESTAL</t>
    </r>
  </si>
  <si>
    <t xml:space="preserve">Revisar y actualizar el procedimiento A-01-P-002 EXPEDICIÓN DE CERTIFICADO DE DISPONIBLIDAD PRESUPUESTAL. </t>
  </si>
  <si>
    <t xml:space="preserve">Profesional especializado 16 con funciones de presupuesto. </t>
  </si>
  <si>
    <t xml:space="preserve">Expedición de CDP dentro de las 24 horas posteriores a la solicitud recibida para la gestión eficiente, oportuna, transparente y permanente de los recursos financieros del INM fortaleciendo la capacidad administrativa y de desempeño institucional. </t>
  </si>
  <si>
    <t>Control 4: Revisar y aprobar el Formato de solicitud de Certificado de Disponibilidad Presupuestal.
Responsable: Secretario General
Periodicidad: Cada vez se allegue una solicitud de CDP.
Propósito: Prevenir errores en el diligenciamiento de la solicitud y garantizar la pertinencia en la ejecución de los recursos.
¿Cómo se realiza el control?: Validar que el formato de solicitud este diligenciado en su totalidad y cuente con el visto bueno por parte del profesional especializado 16 con funciones de Presupuesto
Qué pasa con las observaciones o desviaciones: En caso de encontrar inconsistencias en la revisión del CDP, se devuelve al área y al Profesional especializado 16 con funciones de Presupuesto, que radicó la solicitud mediante correo electrónico, para que corrija la información.
Evidencias o soportes de la ejecución: A-01-F-001 Solicitud de Certificado de Disponibilidad Presupuestal.
Correo electrónico de aviso de devolución del documento de solicitud.
Documentado: A-01-P-002  EXPEDICIÓN DE CERTIFICADO DE DISPONIBLIDAD PRESUPUESTAL</t>
  </si>
  <si>
    <t xml:space="preserve">Actualizar el procedimiento A-01-P-002 EXPEDICIÓN DE CERTIFICADO DE DISPONIBLIDAD PRESUPUESTAL con la actualización respectiva del control 4. </t>
  </si>
  <si>
    <t>Control 5: Revisar y aprobar el formato de la expedición de registros presupuestales aplicando los lineamientos establecidos en los procedimientos  A-01-P-003 EXPEDICIÓN DE REGISTROS PRESUPUESTALES
Responsable: Secretario General
Periodicidad: Cada vez se allegue los documentos para la asignación de registro presupuestal.
Propósito: Prevenir errores en la asignación del registro presupuestal a la contratación de bienes y servicios y en la ejecución de los recursos.
¿Cómo se realiza el control?: Validar el contenido de la información de los documentos de la solicitud corresponda con la información contenida en el certificado de disponibilidad presupuestal y demas información pertinente de los proveedores con la información registrada en SECOP. 
Qué pasa con las observaciones o desviaciones: En caso de encontrar inconsistencias en la revisión de los documentos, se devuelve al área solicitante para que se corrija la información.
Evidencias o soportes de la ejecución: Correo electrónico de aviso de devolución del documento de solicitud.
Documentado: A-01-P-003 EXPEDICIÓN DE REGISTROS PRESUPUESTALES</t>
  </si>
  <si>
    <t>Control 6: Aplicar los lineamientos establecidos en los procedimientos   A-01-P-006 CONSTITUCIÓN DEL REZAGO PRESUPUESTAL
Responsable: Secretario General - Ordenador del Gasto - Subdirectores, Jefes de Oficina, Supervisores de contratos y responsables de la ejecución de recursos de funcionamiento o recursos de inversión.
Periodicidad: Cada vez se allegue los documentos de autorización para marcar las reservas presupuestalesl.
Propósito: Prevenir errores en la constitución de las reservas presupuestales aprobadas por el ordenador del gasto al cierre de la vigencia.
¿Cómo se realiza el control?: Validar el contenido de la información de los documentos de autorización la constitución de los valores de la reserva presupuestal vs.  la información registrada en saldos de registros presupuestales por obligar en SIIF NACION II. En caso de encontrar inconsistencias en la revisión de los documentos, se devuelve al área solicitante para que se corrija la información.
Evidencias o soportes de la ejecución: Correos electrónicos e informe final de constitución de las reservas presupuestalesl de cierre de vigencia 
Documentado: A-01-P-006 CONSTITUCIÓN DEL REZAGO PRESUPUESTAL</t>
  </si>
  <si>
    <t>A07-RF1</t>
  </si>
  <si>
    <t>13,14,17,18,20,21</t>
  </si>
  <si>
    <t>Reclamaciones de terceros
Auditorias de los entes de control</t>
  </si>
  <si>
    <t>Investigaciones de los entes de control</t>
  </si>
  <si>
    <t xml:space="preserve">Posibilidad de efecto dañoso sobre los recursos del INM debido a investigaciones de los entes de control, por no cumplir con los requisitos establecidos en la normatividad vigente para la etapa precontractual. </t>
  </si>
  <si>
    <t>Control 1: Elaborar y estructurar los estudios previos y los documentos jurídicos relacionados con la etapa precontractual. 
Responsable: Profesionales o contratistas de cada dependencia junto con los abogados estructuradores asignados a cada proceso de contratación. 
Periodicidad: Cada vez que se radique una solicitud de contrato.
Propósito: Validar por parte del abogado estructurador que la radicación cuente con todos los documentos y requisitos que se necesitan para la gestión adecuada de la etapa pre contractual. 
¿Cómo se realiza el control?: El abogado estructurador verifica la necesidad de la contratación y analizar el valor del contrato, el objeto de la contratación se encuentre acorde con el plan anual de adquisiciones, determinar la modalidad de contratación más adecuada conforme a la Ley. Una vez definida la modalidad, el abogado debe establecer las condiciones específicas del proceso de contratación, asegurando que se ajusten a los principios de transparencia, eficiencia y economía que rigen el marco normativo.
Qué pasa con las observaciones o desviaciones: En caso de que el abogado estructurador encuentre inconsistencias en la revisión en los documentos, envia por correo electrónico las observaciones para los ajustes correspondientes por parte de cada área responsable del proceso de contratación. 
Evidencias o soportes de la ejecución: Correos electrónicos y el registro del radicado en contratos. 
Documentado: Procedimiento A-07-P-001 ETAPA PRE-CONTRACTUAL.</t>
  </si>
  <si>
    <t xml:space="preserve">Acción: Actualizar el procedimiento A-07-P-001 ETAPA PRE-CONTRACTUAL, con el fin de incluir la descripción respectiva de la ejecución del control 1.  
</t>
  </si>
  <si>
    <t xml:space="preserve">Responsable: Profesional especializado 18. </t>
  </si>
  <si>
    <t xml:space="preserve">Procesos a contratar radicados dentro de los términos establecidos en el Plan Anual de Adquisiciones para garantizar la ejecución presupuestal, asignada anualmente al INM. </t>
  </si>
  <si>
    <t xml:space="preserve">1. Determinar el alcance del problema
2. Tomar decisiones con relacion al alcance del problema 
3. Informar a las partes interesadas (proveedores, contratistas) en caso de que el error unicamente implique una corrección documental deberá corregirse de inmediato y cumplir con el principio de transparencia y publicidad. En caso de que el error implique una decisión administrativa, deberá tomarse las medidas jurídicas correspondientes para emitir el acto administrativo respectivo. </t>
  </si>
  <si>
    <t xml:space="preserve">Control 2: Revisar que todos los documentos que componen la etapa precontractual cumplan con los requisitos normativos y lo establecido en el procedimiento A-07-P-001 ETAPA PRE-CONTRACTUAL. 
Responsable: Profesional o contratista del grupo interno de trabajo de gestión jurídica contractual y de investigaciones de carácter disciplinario que actua como abogado revisor.  
Periodicidad: Cada vez que se requiera la revisión del proceso.
Propósito: Validar que los documentos y requisitos que se necesitan para la gestión adecuada de la etapa pre contractual, esten cumpletos y acordes con los requisitos normativos y lo establecido en el procedimiento A-07-P-001 ETAPA PRE-CONTRACTUAL. 
¿Cómo se realiza el control?: El abogado revisor verifica uno a uno los documentos del proceso de contratación, validando la pertinencia, adecuación y el cumplimiento del marco juídico, asegurando que se ajusten a los principios de transparencia, eficiencia y economía que rigen el marco normativo.
Qué pasa con las observaciones o desviaciones: En caso de que el abogado revisor encuentre inconsistencias en la validación de los documentos, envia por correo electrónico al abogado estructurador, las observaciones para los ajustes correspondientes.  
Evidencias o soportes de la ejecución: Correos electrónicos.
Documentado: Procedimiento A-07-P-001 ETAPA PRE-CONTRACTUAL. </t>
  </si>
  <si>
    <t xml:space="preserve">Acción: Actualizar el procedimiento A-07-P-001 ETAPA PRE-CONTRACTUAL, con el fin de incluir la descripción respectiva de la ejecución del control 2.  </t>
  </si>
  <si>
    <t>M08-RF1</t>
  </si>
  <si>
    <t>8, 42, 45</t>
  </si>
  <si>
    <t xml:space="preserve"> - Inadecuada ejecución de las actividades de aseguramiento de la validez de los resultados, trazabilidad metrológica externa, e inter/intra laboratorio. 
- Inadecuada selección  del agente aduanero al no contemplar todas las necesidades y requisitos para el transporte seguro del equipamiento. 
- Desconocimiento de los cuidados por parte de la empresa transportadora. 
- Falta de documentación de los criterios para las condiciones de manipulación y el cuidado de los patrones y sistemas de medición. 
- Falta de acompañamiento del personal técnico al momento del reconocimiento de los PN y SM con el agente aduanero. 
- Inadecuado embalaje de los PN y SM. 
- Falta de ejecución de mantenimientos preventivos
- Inadecuado control de las condiciones ambientales para el almacenamiento de los patrones y sistemas de medición. 
- Mantenimiento de la infraestructura (laboratorios), limpieza, proyectos de renovación, sistemas de información (SASM, BPMetro)
- Demoras en la prestación del servicio por parte del proveedor de trazabilidad externa que afecten el tiempo de entrega de los patrones del INM. 
- Inadecuada o falta de competencia del personal de los laboratorios del INM que ejecuta las actividades de aseguramiento de la validez de los resultados trazabilidad inter/intra laboratorio
- Falta de seguimiento a los planes de trazabilidad externa, interna y de aseguramiento de la validez de los resultados.
- Falta de insumos, consumibles o reactivos, necesarios para la ejecución de actividades de trazabilidad o aseguramiento de la validez de los resultados.
- Insumos, consumibles o reactivos con especificaciones técnicas inadecuadas necesarios para la ejecución de actividades de trazabilidad o aseguramiento de la validez de los resultados.</t>
  </si>
  <si>
    <t>a causa de una inadecuada manipulación, mantenimiento, almacenamiento, transporte, demora en la prestación del servicio de trazabilidad metrológica del proveedor externo de los patrones y sistemas de medición y/o falta de seguimiento a los planes de trazabilidad y de aseguramiento de la validez de los resultados.</t>
  </si>
  <si>
    <t>Posibilidad de efecto dañoso sobre el interés patrimonial, bien y el recurso del INM por la inadecuada ejecución de las actividades de aseguramiento de la validez de los resultados, trazabilidad metrológica externa, e inter/intra laboratorio, a causa de una inadecuada manipulación, mantenimiento, almacenamiento, transporte y/o demora en la prestación del servicio de trazabilidad metrológica del proveedor interno o externo de los patrones y sistemas de medición.</t>
  </si>
  <si>
    <r>
      <t>Control 1</t>
    </r>
    <r>
      <rPr>
        <sz val="10"/>
        <color rgb="FF000000"/>
        <rFont val="Arial"/>
        <family val="2"/>
      </rPr>
      <t xml:space="preserve">: Establecer, ejecutar y hacer seguimiento a la planificación de las actividades de mantenimiento preventivo.
</t>
    </r>
    <r>
      <rPr>
        <b/>
        <sz val="10"/>
        <color rgb="FF000000"/>
        <rFont val="Arial"/>
        <family val="2"/>
      </rPr>
      <t xml:space="preserve">Responsable: </t>
    </r>
    <r>
      <rPr>
        <sz val="10"/>
        <color rgb="FF000000"/>
        <rFont val="Arial"/>
        <family val="2"/>
      </rPr>
      <t xml:space="preserve">El responsable del laboratorio
</t>
    </r>
    <r>
      <rPr>
        <b/>
        <sz val="10"/>
        <color rgb="FF000000"/>
        <rFont val="Arial"/>
        <family val="2"/>
      </rPr>
      <t>Cómo se realiza la actividad</t>
    </r>
    <r>
      <rPr>
        <sz val="10"/>
        <color rgb="FF000000"/>
        <rFont val="Arial"/>
        <family val="2"/>
      </rPr>
      <t xml:space="preserve">: a través de los soportes disponibles en el aplicativo hoja de vida de equipos metrológicos, relacionados en el M-08-M-001 Manual de Gestión de equipamiento, en el M-01-M-001 Manual Técnico de los servicios de calibración y medición metrológica y el M-03-M-001 Producción de materiales de referencia y actividades de la SMQB​. 
</t>
    </r>
    <r>
      <rPr>
        <b/>
        <sz val="10"/>
        <color rgb="FF000000"/>
        <rFont val="Arial"/>
        <family val="2"/>
      </rPr>
      <t>Propósito</t>
    </r>
    <r>
      <rPr>
        <sz val="10"/>
        <color rgb="FF000000"/>
        <rFont val="Arial"/>
        <family val="2"/>
      </rPr>
      <t xml:space="preserve">: Asegurar el funcionamiento adecuado del equipamiento para el desarrollo de las actividades del laboratorio.
</t>
    </r>
    <r>
      <rPr>
        <b/>
        <sz val="10"/>
        <color rgb="FF000000"/>
        <rFont val="Arial"/>
        <family val="2"/>
      </rPr>
      <t>Periodicidad</t>
    </r>
    <r>
      <rPr>
        <sz val="10"/>
        <color rgb="FF000000"/>
        <rFont val="Arial"/>
        <family val="2"/>
      </rPr>
      <t xml:space="preserve">: Anualmente
</t>
    </r>
    <r>
      <rPr>
        <b/>
        <sz val="10"/>
        <color rgb="FF000000"/>
        <rFont val="Arial"/>
        <family val="2"/>
      </rPr>
      <t>Qué pasa con las observaciones o desviaciones</t>
    </r>
    <r>
      <rPr>
        <sz val="10"/>
        <color rgb="FF000000"/>
        <rFont val="Arial"/>
        <family val="2"/>
      </rPr>
      <t xml:space="preserve">: En caso de que alguno de los equipos identificados en la planificación de las actividades de mantenimiento preventivo no pueda recibir dicho mantenimiento, se evaluará el impacto de no realizar el mantenimiento preventivo. Si es necesario, el equipo será etiquetado como fuera de servicio. 
</t>
    </r>
    <r>
      <rPr>
        <b/>
        <sz val="10"/>
        <color rgb="FF000000"/>
        <rFont val="Arial"/>
        <family val="2"/>
      </rPr>
      <t>Evidencia de la ejecución del control</t>
    </r>
    <r>
      <rPr>
        <sz val="10"/>
        <color rgb="FF000000"/>
        <rFont val="Arial"/>
        <family val="2"/>
      </rPr>
      <t xml:space="preserve">: Soportes en HVE, M-08-F-009 Plan de trazabilidad SMF, algunos formatos para laboratorios (SMF), M-03-F-022 Plan de gestión de laboratorios (SMQB)
</t>
    </r>
    <r>
      <rPr>
        <b/>
        <sz val="10"/>
        <color rgb="FF000000"/>
        <rFont val="Arial"/>
        <family val="2"/>
      </rPr>
      <t xml:space="preserve">Documentado: </t>
    </r>
    <r>
      <rPr>
        <sz val="10"/>
        <color rgb="FF000000"/>
        <rFont val="Arial"/>
        <family val="2"/>
      </rPr>
      <t>M-08-M-001 Manual de Gestión de equipamiento</t>
    </r>
  </si>
  <si>
    <t xml:space="preserve">Realizar una jornada de revisión de información que se encuentra cargada en el aplicativo de hoja de vida de equipos, con el fin de validar la adecuación de la información. </t>
  </si>
  <si>
    <t>Coordinador de grupo interno de la SMF</t>
  </si>
  <si>
    <t xml:space="preserve">Aseguramiento de la validez de los resultados con cumplimiento de criterios preestablecidos que permita tomar acciones oportunas para evitar impactos negativos en los resultados 	
Aseguramiento de la validez de los resultados con cumplimiento de las actividades planificadas permitiendo analizar y controlar que las mismas se ejecuten 
Trazabilidad (interna/externa) con cumplimiento de las actividades planificadas permitiendo analizar, controlar y ajustar según sea necesario para mantener la trazabilidad metrológica de los resultados de sus mediciones al SI 	</t>
  </si>
  <si>
    <t xml:space="preserve"> - Inadecuada ejecución de las actividades de aseguramiento de la validez de los resultados, trazabilidad metrológica externa, e inter/intra laboratorio. 
- Inadecuada selección  del agente aduanero al no contemplar todas las necesidades y requisitos para el transporte seguro del equipamiento. 
- Desconocimiento de los cuidados por parte de la empresa transportadora. 
- Falta de documentación de los criterios para las condiciones de manipulación y el cuidado de los patrones y sistemas de medición. 
- Falta de acompañamiento del personal técnico al momento del reconocimiento de los PN y SM con el agente aduanero. 
- Inadecuado embalaje de los PN y SM. 
- Falta de ejecución de mantenimientos preventivos
- Inadecuado control de las condiciones ambientales para el almacenamiento de los patrones y sistemas de medición. 
- Mantenimiento de la infraestructura (laboratorios), limpieza, proyectos de renovación, sistemas de información (SASM, BPMetro)
- Demoras en la prestación del servicio por parte del proveedor de trazabilidad externa que afecten el tiempo de entrega de los patrones del INM. 
- Inadecuada o falta de competencia del personal de los laboratorios del INM que ejecuta las actividades de aseguramiento de la validez de los resultados trazabilidad inter/intra laboratorio
- Falta de seguimiento a los planes de trazabilidad externa, interna y de aseguramiento de la validez de los resultados.
- Falta de insumos, consumibles o reactivos, necesarios para la ejecución de actividades de trazabilidad o aseguramiento de la validez de los resultados.
- Insumos, consumibles o reactivos con especificaciones técnicas inadecuadas necesarios para la ejecución de actividades de trazabilidad o aseguramiento de la validez de los resultados.
</t>
  </si>
  <si>
    <r>
      <rPr>
        <b/>
        <sz val="10"/>
        <color rgb="FF000000"/>
        <rFont val="Arial Narrow"/>
      </rPr>
      <t xml:space="preserve">Control 2: </t>
    </r>
    <r>
      <rPr>
        <sz val="10"/>
        <color rgb="FF000000"/>
        <rFont val="Arial Narrow"/>
      </rPr>
      <t xml:space="preserve"> Realizar seguimiento periódico a las condiciones ambientales.
</t>
    </r>
    <r>
      <rPr>
        <b/>
        <sz val="10"/>
        <color rgb="FF000000"/>
        <rFont val="Arial Narrow"/>
      </rPr>
      <t>Responsable:</t>
    </r>
    <r>
      <rPr>
        <sz val="10"/>
        <color rgb="FF000000"/>
        <rFont val="Arial Narrow"/>
      </rPr>
      <t xml:space="preserve"> El Responsable del laboratorio o a quien designe.
</t>
    </r>
    <r>
      <rPr>
        <b/>
        <sz val="10"/>
        <color rgb="FF000000"/>
        <rFont val="Arial Narrow"/>
      </rPr>
      <t xml:space="preserve">Cómo se realiza la actividad:  </t>
    </r>
    <r>
      <rPr>
        <sz val="10"/>
        <color rgb="FF000000"/>
        <rFont val="Arial Narrow"/>
      </rPr>
      <t xml:space="preserve">Se tienen en cuenta los lineamientos establecidos en los documentos de los laboratorios del INM para el almacenamiento y conservación de los patrones.
</t>
    </r>
    <r>
      <rPr>
        <b/>
        <sz val="10"/>
        <color rgb="FF000000"/>
        <rFont val="Arial Narrow"/>
      </rPr>
      <t xml:space="preserve">Propósito: </t>
    </r>
    <r>
      <rPr>
        <sz val="10"/>
        <color rgb="FF000000"/>
        <rFont val="Arial Narrow"/>
      </rPr>
      <t xml:space="preserve">Garantizar la conservación e integridad del equipamiento durante su almacenamiento en las instalaciones del laboratorio.
</t>
    </r>
    <r>
      <rPr>
        <b/>
        <sz val="10"/>
        <color rgb="FF000000"/>
        <rFont val="Arial Narrow"/>
      </rPr>
      <t xml:space="preserve">Periodicidad: </t>
    </r>
    <r>
      <rPr>
        <sz val="10"/>
        <color rgb="FF000000"/>
        <rFont val="Arial Narrow"/>
      </rPr>
      <t xml:space="preserve">Continua
</t>
    </r>
    <r>
      <rPr>
        <b/>
        <sz val="10"/>
        <color rgb="FF000000"/>
        <rFont val="Arial Narrow"/>
      </rPr>
      <t xml:space="preserve">Qué pasa con las observaciones o desviaciones: </t>
    </r>
    <r>
      <rPr>
        <sz val="10"/>
        <color rgb="FF000000"/>
        <rFont val="Arial Narrow"/>
      </rPr>
      <t xml:space="preserve">Los laboratorios que no hacen uso del software para el control de las condiciones ambientales establecido por el INM, cuentan con un software diferente con el cual se realiza el seguimiento al comportamiento de las variables de temperatura y humedad.  
</t>
    </r>
    <r>
      <rPr>
        <b/>
        <sz val="10"/>
        <color rgb="FF000000"/>
        <rFont val="Arial Narrow"/>
      </rPr>
      <t>Evidencia de la ejecución del control:</t>
    </r>
    <r>
      <rPr>
        <sz val="10"/>
        <color rgb="FF000000"/>
        <rFont val="Arial Narrow"/>
      </rPr>
      <t xml:space="preserve"> Registros de seguimiento de condiciones ambientales del laboratorio.
Documentado: M-08-M-001 Manual de gestión de equipamiento.</t>
    </r>
  </si>
  <si>
    <t xml:space="preserve"> - Inadecuada ejecución de las actividades de aseguramiento de la validez de los resultados, trazabilidad metrológica externa, e inter/intra laboratorio. 
- Inadecuada selección  del agente aduanero al no contemplar todas las necesidades y requisitos para el transporte seguro del equipamiento. 
- Desconocimiento de los cuidados por parte de la empresa transportadora. 
- Falta de documentación de los criterios para las condiciones de manipulación y el cuidado de los patrones y sistemas de medición. 
- Falta de acompañamiento del personal técnico al momento del reconocimiento de los PN y SM con el agente aduanero. 
- Inadecuado embalaje de los PN y SM. 
- Falta de ejecución de mantenimientos preventivos
- Inadecuado control de las condiciones ambientales para el almacenamiento de los patrones y sistemas de medición. 
- Mantenimiento de la infraestructura (laboratorios), limpieza, proyectos de renovación, sistemas de información (SASM, BPMetro)
- Demoras en la prestación del servicio por parte del proveedor de trazabilidad externa que afecten el tiempo de entrega de los patrones del INM. 
- Inadecuada o falta de competencia del personal de los laboratorios del INM que ejecuta las actividades de aseguramiento de la validez de los resultados trazabilidad inter/intra laboratorio
- Falta de seguimiento a los planes de trazabilidad externa, interna y de aseguramiento de la validez de los resultados.
- Falta de insumos, consumibles o reactivos, necesarios para la ejecución de actividades de trazabilidad o aseguramiento de la validez de los resultados.
- Insumos, consumibles o reactivos con especificaciones técnicas inadecuadas necesarios para la ejecución de actividades de trazabilidad o aseguramiento de la validez de los resultados.
-Fin de la vida útil del patrón o sistema de medición.
- Daño fortuito</t>
  </si>
  <si>
    <r>
      <rPr>
        <b/>
        <sz val="10"/>
        <color rgb="FF000000"/>
        <rFont val="Arial Narrow"/>
      </rPr>
      <t xml:space="preserve">Control 3: Realizar </t>
    </r>
    <r>
      <rPr>
        <sz val="10"/>
        <color rgb="FF000000"/>
        <rFont val="Arial Narrow"/>
      </rPr>
      <t xml:space="preserve">mediante el análisis de brechas en la hoja 2 del formato A-04-F-008, la evaluación del cumplimiento de la descripción de competencias técnicas ideales identificadas en la actividad 1 del procedimiento A-04-P-002, con el fin de determinar las necesidades de entrenamiento para el rol o las actividades a realizar. 
</t>
    </r>
    <r>
      <rPr>
        <b/>
        <sz val="10"/>
        <color rgb="FF000000"/>
        <rFont val="Arial Narrow"/>
      </rPr>
      <t xml:space="preserve">Responsable: </t>
    </r>
    <r>
      <rPr>
        <sz val="10"/>
        <color rgb="FF000000"/>
        <rFont val="Arial Narrow"/>
      </rPr>
      <t xml:space="preserve">El Coordinador o quien se delegue
</t>
    </r>
    <r>
      <rPr>
        <b/>
        <sz val="10"/>
        <color rgb="FF000000"/>
        <rFont val="Arial Narrow"/>
      </rPr>
      <t xml:space="preserve">
Cómo se realiza la actividad: </t>
    </r>
    <r>
      <rPr>
        <sz val="10"/>
        <color rgb="FF000000"/>
        <rFont val="Arial Narrow"/>
      </rPr>
      <t xml:space="preserve">a través de los formatos A-04-F-008 y A-04-F-009, teniendo en cuenta los lineamientos establecidos en el procedimiento A-04-P-002 Mantenimiento y desarrollo de las competencias del personal técnico.
</t>
    </r>
    <r>
      <rPr>
        <b/>
        <sz val="10"/>
        <color rgb="FF000000"/>
        <rFont val="Arial Narrow"/>
      </rPr>
      <t xml:space="preserve">
Propósito: </t>
    </r>
    <r>
      <rPr>
        <sz val="10"/>
        <color rgb="FF000000"/>
        <rFont val="Arial Narrow"/>
      </rPr>
      <t xml:space="preserve">Identificar las áreas en las que el personal evaluado pueda requerir capacitación, entrenamiento o formación adicional con el fin de mejorar la eficiencia y la eficacia en la competencia técnica.  
</t>
    </r>
    <r>
      <rPr>
        <b/>
        <sz val="10"/>
        <color rgb="FF000000"/>
        <rFont val="Arial Narrow"/>
      </rPr>
      <t xml:space="preserve">
Periodicidad: </t>
    </r>
    <r>
      <rPr>
        <sz val="10"/>
        <color rgb="FF000000"/>
        <rFont val="Arial Narrow"/>
      </rPr>
      <t xml:space="preserve">Anualmente, cada vez que se vincule personal nuevo a los laboratorios, o cuando se identifique la necesidad de actualización.
</t>
    </r>
    <r>
      <rPr>
        <b/>
        <sz val="10"/>
        <color rgb="FF000000"/>
        <rFont val="Arial Narrow"/>
      </rPr>
      <t xml:space="preserve">
Qué pasa con las observaciones o desviaciones:  </t>
    </r>
    <r>
      <rPr>
        <sz val="10"/>
        <color rgb="FF000000"/>
        <rFont val="Arial Narrow"/>
      </rPr>
      <t xml:space="preserve">Si el resultado de la evaluación de brechas  indica que "se ajusta" o "se ajusta con observaciones" a la Descripción de las competencias requeridas, se puede emitir la autorización formal. En caso de ajustarse con observaciones, se puede emitir autorización con restricciones y seguir las recomendaciones o enfocarse en cubrir las brechas identificadas. 
Si concluye que "no se ajusta" a la Descripción de las competencias requeridas, el Coordinador o a quien se delegue, iniciara el registro del A-04-F-009 Plan y evaluación mantenimiento y desarrollo competencias del personal técnico, registrando las actividades iniciales a desarrollar para su posterior autorización.
</t>
    </r>
    <r>
      <rPr>
        <b/>
        <sz val="10"/>
        <color rgb="FF000000"/>
        <rFont val="Arial Narrow"/>
      </rPr>
      <t xml:space="preserve">
Evidencia de la ejecución del control: </t>
    </r>
    <r>
      <rPr>
        <sz val="10"/>
        <color rgb="FF000000"/>
        <rFont val="Arial Narrow"/>
      </rPr>
      <t xml:space="preserve"> Formatos A-04-F-008 y A-04-F-009 diligenciados.
</t>
    </r>
    <r>
      <rPr>
        <b/>
        <sz val="10"/>
        <color rgb="FF000000"/>
        <rFont val="Arial Narrow"/>
      </rPr>
      <t>Documentado:  A-04-P-002 Mantenimiento y desarrollo de las competencias del personal técnico</t>
    </r>
  </si>
  <si>
    <t>Socializar la versión 5 del procedimiento A-04-P-002 MANTENIMIENTO Y DESARROLLO DE LAS COMPETENCIAS DEL PERSONAL TÉCNICO</t>
  </si>
  <si>
    <t>*Enlaces de calidad de la SMF
*Profesional del grupo del SIG de la OAP</t>
  </si>
  <si>
    <t xml:space="preserve"> - Inadecuada ejecución de las actividades de aseguramiento de la validez de los resultados, trazabilidad metrológica externa, e inter/intra laboratorio. 
- Inadecuada selección  del agente aduanero al no contemplar todas las necesidades y requisitos para el transporte seguro del equipamiento. 
- Desconocimiento de los cuidados por parte de la empresa transportadora. 
- Falta de documentación de los criterios para las condiciones de manipulación y el cuidado de los patrones y sistemas de medición. 
- Falta de acompañamiento del personal técnico al momento del reconocimiento de los PN y SM con el agente aduanero. 
- Inadecuado embalaje de los PN y SM. 
- Falta de ejecución de mantenimientos preventivos
- Inadecuado control de las condiciones ambientales para el almacenamiento de los patrones y sistemas de medición. 
- Mantenimiento de la infraestructura (laboratorios), limpieza, proyectos de renovación, sistemas de información (SASM, BPMetro)
- Demoras en la prestación del servicio por parte del proveedor de trazabilidad externa que afecten el tiempo de entrega de los patrones del INM. 
- Inadecuada o falta de competencia del personal de los laboratorios del INM que ejecuta las actividades de aseguramiento de la validez de los resultados trazabilidad inter/intra laboratorio
- Falta de seguimiento a los planes de trazabilidad externa, interna y de aseguramiento de la validez de los resultados.
- Falta de insumos, consumibles o reactivos, necesarios para la ejecución de actividades de trazabilidad o aseguramiento de la validez de los resultados.
- Insumos, consumibles o reactivos con especificaciones técnicas inadecuadas necesarios para la ejecución de actividades de trazabilidad o aseguramiento de la validez de los resultados.Fin de la vida útil del patrón o sistema de medición
</t>
  </si>
  <si>
    <r>
      <rPr>
        <b/>
        <sz val="10"/>
        <color rgb="FF000000"/>
        <rFont val="Arial Narrow"/>
        <family val="2"/>
      </rPr>
      <t xml:space="preserve">Control 4: </t>
    </r>
    <r>
      <rPr>
        <sz val="10"/>
        <color rgb="FF000000"/>
        <rFont val="Arial Narrow"/>
        <family val="2"/>
      </rPr>
      <t xml:space="preserve">verificar que los instrumentos de medición que estuvieron fuera de su control, cumplen con los requisitos especificados, antes de reincorporarlos al proceso.
</t>
    </r>
    <r>
      <rPr>
        <b/>
        <sz val="10"/>
        <color rgb="FF000000"/>
        <rFont val="Arial Narrow"/>
        <family val="2"/>
      </rPr>
      <t xml:space="preserve">Responsable: </t>
    </r>
    <r>
      <rPr>
        <sz val="10"/>
        <color rgb="FF000000"/>
        <rFont val="Arial Narrow"/>
        <family val="2"/>
      </rPr>
      <t xml:space="preserve">Personal del laboratorio.
</t>
    </r>
    <r>
      <rPr>
        <b/>
        <sz val="10"/>
        <color rgb="FF000000"/>
        <rFont val="Arial Narrow"/>
        <family val="2"/>
      </rPr>
      <t xml:space="preserve">
Cómo se realiza la actividad:  </t>
    </r>
    <r>
      <rPr>
        <sz val="10"/>
        <color rgb="FF000000"/>
        <rFont val="Arial Narrow"/>
        <family val="2"/>
      </rPr>
      <t xml:space="preserve">a través de los formatos establecidos por cada laboratorio, teniendo en cuenta los lineamientos establecidos en los procedimientos M-08-P-001 Trazabilidad de las mediciones del INM y M-01-P-002 Prestación de servicios de calibración o medición en sito.
</t>
    </r>
    <r>
      <rPr>
        <b/>
        <sz val="10"/>
        <color rgb="FF000000"/>
        <rFont val="Arial Narrow"/>
        <family val="2"/>
      </rPr>
      <t xml:space="preserve">
Propósito: </t>
    </r>
    <r>
      <rPr>
        <sz val="10"/>
        <color rgb="FF000000"/>
        <rFont val="Arial Narrow"/>
        <family val="2"/>
      </rPr>
      <t xml:space="preserve">Asegurar el funcionamiento adecuado del equipamiento para el desarrollo de las actividades del laboratorio.
</t>
    </r>
    <r>
      <rPr>
        <b/>
        <sz val="10"/>
        <color rgb="FF000000"/>
        <rFont val="Arial Narrow"/>
        <family val="2"/>
      </rPr>
      <t xml:space="preserve">
Periodicidad: </t>
    </r>
    <r>
      <rPr>
        <sz val="10"/>
        <color rgb="FF000000"/>
        <rFont val="Arial Narrow"/>
        <family val="2"/>
      </rPr>
      <t>Cada vez que un equipo esté fuera del control del laboratorio</t>
    </r>
    <r>
      <rPr>
        <b/>
        <sz val="10"/>
        <color rgb="FF000000"/>
        <rFont val="Arial Narrow"/>
        <family val="2"/>
      </rPr>
      <t xml:space="preserve">.
Qué pasa con las observaciones o desviaciones: </t>
    </r>
    <r>
      <rPr>
        <sz val="10"/>
        <color rgb="FF000000"/>
        <rFont val="Arial Narrow"/>
        <family val="2"/>
      </rPr>
      <t xml:space="preserve">En caso de tener resultados no satisfactorios, identificar el equipo como "Uso restringido" y llevar a cabo las actividades necesarias según el documento M-08-M-001.
</t>
    </r>
    <r>
      <rPr>
        <b/>
        <sz val="10"/>
        <color rgb="FF000000"/>
        <rFont val="Arial Narrow"/>
        <family val="2"/>
      </rPr>
      <t xml:space="preserve">
Evidencia de la ejecución del control: </t>
    </r>
    <r>
      <rPr>
        <sz val="10"/>
        <color rgb="FF000000"/>
        <rFont val="Arial Narrow"/>
        <family val="2"/>
      </rPr>
      <t xml:space="preserve">Registros de verificación de equipos fuera del control del laboratorio.
</t>
    </r>
    <r>
      <rPr>
        <b/>
        <sz val="10"/>
        <color rgb="FF000000"/>
        <rFont val="Arial Narrow"/>
        <family val="2"/>
      </rPr>
      <t>Documentado:</t>
    </r>
    <r>
      <rPr>
        <sz val="10"/>
        <color rgb="FF000000"/>
        <rFont val="Arial Narrow"/>
        <family val="2"/>
      </rPr>
      <t xml:space="preserve"> M-08-M-001 Manual de gestión de equipamiento.</t>
    </r>
  </si>
  <si>
    <t xml:space="preserve"> - Inadecuada ejecución de las actividades de aseguramiento de la validez de los resultados, trazabilidad metrológica externa, e inter/intra laboratorio. 
- Inadecuada selección  del agente aduanero al no contemplar todas las necesidades y requisitos para el transporte seguro del equipamiento. 
- Desconocimiento de los cuidados por parte de la empresa transportadora. 
- Falta de documentación de los criterios para las condiciones de manipulación y el cuidado de los patrones y sistemas de medición. 
- Falta de acompañamiento del personal técnico al momento del reconocimiento de los PN y SM con el agente aduanero. 
- Inadecuado embalaje de los PN y SM. 
- Falta de ejecución de mantenimientos preventivos
- Inadecuado control de las condiciones ambientales para el almacenamiento de los patrones y sistemas de medición. 
- Mantenimiento de la infraestructura (laboratorios), limpieza, proyectos de renovación, sistemas de información (SASM, BPMetro)
- Demoras en la prestación del servicio por parte del proveedor de trazabilidad externa que afecten el tiempo de entrega de los patrones del INM. 
- Inadecuada o falta de competencia del personal de los laboratorios del INM que ejecuta las actividades de aseguramiento de la validez de los resultados trazabilidad inter/intra laboratorio
- Falta de seguimiento a los planes de trazabilidad externa, interna y de aseguramiento de la validez de los resultados.
- Falta de insumos, consumibles o reactivos, necesarios para la ejecución de actividades de trazabilidad o aseguramiento de la validez de los resultados.
- Insumos, consumibles o reactivos con especificaciones técnicas inadecuadas necesarios para la ejecución de actividades de trazabilidad o aseguramiento de la validez de los resultados.
- Las restricciones aduaneras no permiten el traslado de los patrones de medición y sistemas de medición.
- Falta de comunicación entre las áreas técnicas y él área que gestiona trámites aduaneros</t>
  </si>
  <si>
    <t>Control 5: Gestionar y realizar los trámites necesarios para la contratación oportuna del agente aduanero.
Responsable: El profesional con funciones de comercio exterior de Secretaría General, junto con el personal de apoyo de comercio exterior
Cómo se realiza la actividad:  A través de los formatos A-07-F-009 Solicitud de contratación, A-07-F-011 Recomendación de Supervisión, Solicitud de CDP, Certificado de Disponibilidad Presupuestal,  A-07-F-026 Estudio de Mercado, Cotización presentada por el proveedor, Lista de chequeo, relacionados en el procedimiento A-05-P-002 Planeación actividades de Comercio Exterior.
Propósito: Asegurar la selección adecuada del agente aduanero para los tramites de transporte de equipamiento o MRC.
Periodicidad: Anual
Qué pasa con las observaciones o desviaciones: Si el proceso inicial se declara desierto, aplicar nuevamente los lineamientos dados en el procedimiento A-05-P-002 Planeación actividades de Comercio Exterior, para la contratación.
Evidencia de la ejecución del control: Contrato de agente aduanero adjudicado.
Documentado: A-05-P-002 Planeación actividades de Comercio Exterior</t>
  </si>
  <si>
    <t>Control 6: Informar de manera oportuna a secretaría general, los equipos que no alcanzan a retornar al INM, para que se realice la reserva presupuestal y prórroga del contrato.
Responsable: El profesional con funciones de comercio exterior de Secretaría General, junto con el personal de apoyo de comercio exterior.
Cómo se realiza la actividad:  Se informa a través de correo electrónico siguiendo los lineamientos dados en los documentos A-05-P-002 PLANEACIÓN ACTIVIDADES COMERCIO EXTERIOR (Actividad número 1) y procedimiento M-08-P-001 de trazabilidad de las mediciones del INM.
Propósito: Asegurar el recurso para el retorno  del equipamiento que se encuentren en las instalaciones del proveedor de trazabilidad.
Periodicidad: Anual
Qué pasa con las observaciones o desviaciones: Si no se cuenta con reserva presupuestal para el retorno de equipos, es necesario establecer un nuevo contrato de agente aduanero que incluya estos ítems.
Evidencia de la ejecución del control: Correo electrónico con solicitud de reserva presupuestal y prorroga del contrato.
Documentado: M-08-P-001 Trazabilidad de las mediciones en el INM</t>
  </si>
  <si>
    <t xml:space="preserve"> - Inadecuada ejecución de las actividades de aseguramiento de la validez de los resultados, trazabilidad metrológica externa, e inter/intra laboratorio. 
- Inadecuada selección  del agente aduanero al no contemplar todas las necesidades y requisitos para el transporte seguro del equipamiento. 
- Desconocimiento de los cuidados por parte de la empresa transportadora. 
- Falta de documentación de los criterios para las condiciones de manipulación y el cuidado de los patrones y sistemas de medición. 
- Falta de acompañamiento del personal técnico al momento del reconocimiento de los PN y SM con el agente aduanero. 
- Inadecuado embalaje de los PN y SM. 
- Falta de ejecución de mantenimientos preventivos
- Inadecuado control de las condiciones ambientales para el almacenamiento de los patrones y sistemas de medición. 
- Mantenimiento de la infraestructura (laboratorios), limpieza, proyectos de renovación, sistemas de información (SASM, BPMetro)
- Demoras en la prestación del servicio por parte del proveedor de trazabilidad externa que afecten el tiempo de entrega de los patrones del INM. 
- Inadecuada o falta de competencia del personal de los laboratorios del INM que ejecuta las actividades de aseguramiento de la validez de los resultados trazabilidad inter/intra laboratorio
- Falta de seguimiento a los planes de trazabilidad externa, interna y de aseguramiento de la validez de los resultados.
- Falta de insumos, consumibles o reactivos, necesarios para la ejecución de actividades de trazabilidad o aseguramiento de la validez de los resultados.
- Insumos, consumibles o reactivos con especificaciones técnicas inadecuadas necesarios para la ejecución de actividades de trazabilidad o aseguramiento de la validez de los resultados.
-Fin de la vida útil del patrón o sistema de medición
- Daño fortuito</t>
  </si>
  <si>
    <r>
      <rPr>
        <b/>
        <sz val="10"/>
        <color rgb="FF000000"/>
        <rFont val="Arial Narrow"/>
      </rPr>
      <t xml:space="preserve">Control 7: </t>
    </r>
    <r>
      <rPr>
        <sz val="10"/>
        <color rgb="FF000000"/>
        <rFont val="Arial Narrow"/>
      </rPr>
      <t xml:space="preserve">Realizar la verificación del cumplimiento de los requisitos de competencia del personal, establecidos para el almacenamiento, manipulación y transporte de los sistemas de medición del laboratorio para su autorización.
</t>
    </r>
    <r>
      <rPr>
        <b/>
        <sz val="10"/>
        <color rgb="FF000000"/>
        <rFont val="Arial Narrow"/>
      </rPr>
      <t xml:space="preserve">
Responsable: </t>
    </r>
    <r>
      <rPr>
        <sz val="10"/>
        <color rgb="FF000000"/>
        <rFont val="Arial Narrow"/>
      </rPr>
      <t xml:space="preserve"> El responsable del laboratorio o aquien este designe.
</t>
    </r>
    <r>
      <rPr>
        <b/>
        <sz val="10"/>
        <color rgb="FF000000"/>
        <rFont val="Arial Narrow"/>
      </rPr>
      <t xml:space="preserve">
Cómo se realiza la actividad: </t>
    </r>
    <r>
      <rPr>
        <sz val="10"/>
        <color rgb="FF000000"/>
        <rFont val="Arial Narrow"/>
      </rPr>
      <t xml:space="preserve"> a través del formato A-08-F-009 plan y evaluación mantenimiento y desarrollo de competencias del personal técnico y Análisis del brechas del formato A-04-F-008 Descripción de competencias técnicas requeridas, relacionados en el procedimiento A-04-P-002 Mantenimiento y desarrollo de las competencias del personal técnico.
</t>
    </r>
    <r>
      <rPr>
        <b/>
        <sz val="10"/>
        <color rgb="FF000000"/>
        <rFont val="Arial Narrow"/>
      </rPr>
      <t xml:space="preserve">
Propósito: </t>
    </r>
    <r>
      <rPr>
        <sz val="10"/>
        <color rgb="FF000000"/>
        <rFont val="Arial Narrow"/>
      </rPr>
      <t xml:space="preserve">Asegurar personal competente en el almacenamiento, manipulación y transporte de los sistemas de medición del laboratorio.
</t>
    </r>
    <r>
      <rPr>
        <b/>
        <sz val="10"/>
        <color rgb="FF000000"/>
        <rFont val="Arial Narrow"/>
      </rPr>
      <t xml:space="preserve">
Periodicidad: </t>
    </r>
    <r>
      <rPr>
        <sz val="10"/>
        <color rgb="FF000000"/>
        <rFont val="Arial Narrow"/>
      </rPr>
      <t xml:space="preserve">Anualmente o cada vez que se vincule personal nuevo a los laboratorios.
</t>
    </r>
    <r>
      <rPr>
        <b/>
        <sz val="10"/>
        <color rgb="FF000000"/>
        <rFont val="Arial Narrow"/>
      </rPr>
      <t xml:space="preserve">
Qué pasa con las observaciones o desviaciones: </t>
    </r>
    <r>
      <rPr>
        <sz val="10"/>
        <color rgb="FF000000"/>
        <rFont val="Arial Narrow"/>
      </rPr>
      <t xml:space="preserve">Si el resultado de la evaluación de brechas  indica que "se ajusta" o "se ajusta con observaciones" a la Descripción de las competencias requeridas, se puede emitir la autorización formal. En caso de ajustarse con observaciones, se puede emitir autorización con restricciones y seguir las recomendaciones o enfocarse en cubrir las brechas identificadas. 
</t>
    </r>
    <r>
      <rPr>
        <b/>
        <sz val="10"/>
        <color rgb="FF000000"/>
        <rFont val="Arial Narrow"/>
      </rPr>
      <t xml:space="preserve"> 
</t>
    </r>
    <r>
      <rPr>
        <sz val="10"/>
        <color rgb="FF000000"/>
        <rFont val="Arial Narrow"/>
      </rPr>
      <t xml:space="preserve">Si concluye que "no se ajusta" a la Descripción de las competencias requeridas, el Coordinador o a quien se delegue, iniciará el registro del A-04-F-009 Plan y evaluación mantenimiento y desarrollo competencias del personal técnico, registrando las actividades iniciales a desarrollar para su posterior autorización.
</t>
    </r>
    <r>
      <rPr>
        <b/>
        <sz val="10"/>
        <color rgb="FF000000"/>
        <rFont val="Arial Narrow"/>
      </rPr>
      <t xml:space="preserve">
Evidencia de la ejecución del control:  </t>
    </r>
    <r>
      <rPr>
        <sz val="10"/>
        <color rgb="FF000000"/>
        <rFont val="Arial Narrow"/>
      </rPr>
      <t xml:space="preserve">Formatos A-04-F-008 y A-04-F-009 diligenciados.
</t>
    </r>
    <r>
      <rPr>
        <b/>
        <sz val="10"/>
        <color rgb="FF000000"/>
        <rFont val="Arial Narrow"/>
      </rPr>
      <t xml:space="preserve">
Documentado: </t>
    </r>
    <r>
      <rPr>
        <sz val="10"/>
        <color rgb="FF000000"/>
        <rFont val="Arial Narrow"/>
      </rPr>
      <t>A-04-P-002 Mantenimiento y desarrollo de las competencias del personal técnico.</t>
    </r>
  </si>
  <si>
    <r>
      <rPr>
        <b/>
        <sz val="10"/>
        <color rgb="FF000000"/>
        <rFont val="Arial Narrow"/>
        <family val="2"/>
      </rPr>
      <t>Control 8</t>
    </r>
    <r>
      <rPr>
        <sz val="10"/>
        <color rgb="FF000000"/>
        <rFont val="Arial Narrow"/>
        <family val="2"/>
      </rPr>
      <t>: Planear, definir, revisar, aprobar y realizar seguimiento a los requisitos para los insumos, consumibles y reactivos requeridos para el desarrollo de las actividades de los laboratorios del INM</t>
    </r>
    <r>
      <rPr>
        <b/>
        <sz val="10"/>
        <color rgb="FF000000"/>
        <rFont val="Arial Narrow"/>
        <family val="2"/>
      </rPr>
      <t xml:space="preserve">. 
Responsable: </t>
    </r>
    <r>
      <rPr>
        <sz val="10"/>
        <color rgb="FF000000"/>
        <rFont val="Arial Narrow"/>
        <family val="2"/>
      </rPr>
      <t xml:space="preserve">El responsable del laboratorio. 
</t>
    </r>
    <r>
      <rPr>
        <b/>
        <sz val="10"/>
        <color rgb="FF000000"/>
        <rFont val="Arial Narrow"/>
        <family val="2"/>
      </rPr>
      <t xml:space="preserve">
Cómo se realiza la actividad: </t>
    </r>
    <r>
      <rPr>
        <sz val="10"/>
        <color rgb="FF000000"/>
        <rFont val="Arial Narrow"/>
        <family val="2"/>
      </rPr>
      <t xml:space="preserve">Se planea, define, revisa y aprueban los insumos, consumibles y reactivos. Para la SMF, se raliza a través de los formatos M-08-F-023 Insumos físicos y químicos, M-08-F-024 Materiales o herramientas SMF, M-08-F-025 Elementos de protección personal - SMF, siguiendo los lineamientos dados en el procedimiento  M-08-P-007 Gestión de insumos y consumibles de la SMF. Para la SMQB, a través del plan anual de adquisiciones, teniendo en cuenta el comportamiento histórico y las dificultades asociadas a la adquisición del mismo y verificar la cantidad disponible del insumo requerido frente al consumo planeado.
</t>
    </r>
    <r>
      <rPr>
        <b/>
        <sz val="10"/>
        <color rgb="FF000000"/>
        <rFont val="Arial Narrow"/>
        <family val="2"/>
      </rPr>
      <t xml:space="preserve">
Propósito: </t>
    </r>
    <r>
      <rPr>
        <sz val="10"/>
        <color rgb="FF000000"/>
        <rFont val="Arial Narrow"/>
        <family val="2"/>
      </rPr>
      <t xml:space="preserve">Asegurar que se cuenta con los insumos, consumibles y reactivos necesarios para la ejecución de actividades de trazabilidad y aseguiramiento de la validez de los resultados.
</t>
    </r>
    <r>
      <rPr>
        <b/>
        <sz val="10"/>
        <color rgb="FF000000"/>
        <rFont val="Arial Narrow"/>
        <family val="2"/>
      </rPr>
      <t xml:space="preserve">
Periodicidad: </t>
    </r>
    <r>
      <rPr>
        <sz val="10"/>
        <color rgb="FF000000"/>
        <rFont val="Arial Narrow"/>
        <family val="2"/>
      </rPr>
      <t xml:space="preserve">Anualmente
</t>
    </r>
    <r>
      <rPr>
        <b/>
        <sz val="10"/>
        <color rgb="FF000000"/>
        <rFont val="Arial Narrow"/>
        <family val="2"/>
      </rPr>
      <t xml:space="preserve">
Qué pasa con las observaciones o desviaciones: </t>
    </r>
    <r>
      <rPr>
        <sz val="10"/>
        <color rgb="FF000000"/>
        <rFont val="Arial Narrow"/>
        <family val="2"/>
      </rPr>
      <t xml:space="preserve">Si no se cuentan con  insumos, consumibles y reactivos para realizar las actividades de trazabilidad y aseguramiento de la validez de los resultados, se evalúa el impacto junto con el nivel de riesgo si se detecta que se afecta el trabajo en la prestación de servicios o en el equipamiento del laboratorio y se toman las medidas necesarias para asegurar el minimo impacto en la prestación de los servicios para el proceso. 
</t>
    </r>
    <r>
      <rPr>
        <b/>
        <sz val="10"/>
        <color rgb="FF000000"/>
        <rFont val="Arial Narrow"/>
        <family val="2"/>
      </rPr>
      <t xml:space="preserve"> 
Evidencia de la ejecución del control: </t>
    </r>
    <r>
      <rPr>
        <sz val="10"/>
        <color rgb="FF000000"/>
        <rFont val="Arial Narrow"/>
        <family val="2"/>
      </rPr>
      <t xml:space="preserve"> Registros de los formatos M-08-F-023, M-08-F-024 y M-08-F-025 y Plan anual de adquisiciones. 
</t>
    </r>
    <r>
      <rPr>
        <b/>
        <sz val="10"/>
        <color rgb="FF000000"/>
        <rFont val="Arial Narrow"/>
        <family val="2"/>
      </rPr>
      <t xml:space="preserve">Documentado: </t>
    </r>
    <r>
      <rPr>
        <sz val="10"/>
        <color rgb="FF000000"/>
        <rFont val="Arial Narrow"/>
        <family val="2"/>
      </rPr>
      <t>M-08-P-007 Gestión de insumos y consumibles de la SMF. Para la SMQB, a través del plan anual de adquisiciones</t>
    </r>
  </si>
  <si>
    <r>
      <rPr>
        <b/>
        <sz val="10"/>
        <color rgb="FF000000"/>
        <rFont val="Arial Narrow"/>
        <family val="2"/>
      </rPr>
      <t>Control 9:</t>
    </r>
    <r>
      <rPr>
        <sz val="10"/>
        <color rgb="FF000000"/>
        <rFont val="Arial Narrow"/>
        <family val="2"/>
      </rPr>
      <t xml:space="preserve"> Realizar seguimiento al cumplimiento de los planes de trazabilidad externa e interna de los laboratorios de la SMF y al plan de gestión de laboratorios de la SMQB. 
Responsable:  Los subdirectores de la SMF y SMQB o a quien estos designen.
</t>
    </r>
    <r>
      <rPr>
        <b/>
        <sz val="10"/>
        <color rgb="FF000000"/>
        <rFont val="Arial Narrow"/>
        <family val="2"/>
      </rPr>
      <t xml:space="preserve">Cómo se realiza la actividad: </t>
    </r>
    <r>
      <rPr>
        <sz val="10"/>
        <color rgb="FF000000"/>
        <rFont val="Arial Narrow"/>
        <family val="2"/>
      </rPr>
      <t xml:space="preserve">A través de los formatos establecidos para el seguimiento M-08-F-009 para la SMF y el M-03-F-022 para la SMQB y M-08-F-010, relacionados en el procedimiento M-08-P-001 Trazabilidad de las mediciones.
</t>
    </r>
    <r>
      <rPr>
        <b/>
        <sz val="10"/>
        <color rgb="FF000000"/>
        <rFont val="Arial Narrow"/>
        <family val="2"/>
      </rPr>
      <t xml:space="preserve">Propósito: </t>
    </r>
    <r>
      <rPr>
        <sz val="10"/>
        <color rgb="FF000000"/>
        <rFont val="Arial Narrow"/>
        <family val="2"/>
      </rPr>
      <t xml:space="preserve">Asegurar que se hace seguimiento a los planes de trazabilidad interna, externa y de aseguramiento de la validez de los resultados para los laboratorios de la SMF. 
</t>
    </r>
    <r>
      <rPr>
        <b/>
        <sz val="10"/>
        <color rgb="FF000000"/>
        <rFont val="Arial Narrow"/>
        <family val="2"/>
      </rPr>
      <t xml:space="preserve">Periodicidad: </t>
    </r>
    <r>
      <rPr>
        <sz val="10"/>
        <color rgb="FF000000"/>
        <rFont val="Arial Narrow"/>
        <family val="2"/>
      </rPr>
      <t xml:space="preserve">Cada mes
</t>
    </r>
    <r>
      <rPr>
        <b/>
        <sz val="10"/>
        <color rgb="FF000000"/>
        <rFont val="Arial Narrow"/>
        <family val="2"/>
      </rPr>
      <t xml:space="preserve">Qué pasa con las observaciones o desviaciones: </t>
    </r>
    <r>
      <rPr>
        <sz val="10"/>
        <color rgb="FF000000"/>
        <rFont val="Arial Narrow"/>
        <family val="2"/>
      </rPr>
      <t>Si no se realizan las actividades de trazabilidad interna programadas, se evalúa el impacto junto con el nivel de riesgo si se detecta que se afecta el trabajo en la prestación de servicios o en el equipamiento del laboratorio.
Si no hay actividades programadas en la vigencia, informa vía correo electrónico al personal de apoyo de calidad de la SMF.</t>
    </r>
    <r>
      <rPr>
        <b/>
        <sz val="10"/>
        <color rgb="FF000000"/>
        <rFont val="Arial Narrow"/>
        <family val="2"/>
      </rPr>
      <t xml:space="preserve"> 
Evidencia de la ejecución del control: </t>
    </r>
    <r>
      <rPr>
        <sz val="10"/>
        <color rgb="FF000000"/>
        <rFont val="Arial Narrow"/>
        <family val="2"/>
      </rPr>
      <t xml:space="preserve"> Registros de los formatos M-08-F-009 para la SMF y el M-03-F-022 para la SMQB y M-08-F-010.
</t>
    </r>
    <r>
      <rPr>
        <b/>
        <sz val="10"/>
        <color rgb="FF000000"/>
        <rFont val="Arial Narrow"/>
        <family val="2"/>
      </rPr>
      <t>Documentado</t>
    </r>
    <r>
      <rPr>
        <sz val="10"/>
        <color rgb="FF000000"/>
        <rFont val="Arial Narrow"/>
        <family val="2"/>
      </rPr>
      <t>: M-08-M-001 Manual de gestión de equipamiento</t>
    </r>
  </si>
  <si>
    <r>
      <rPr>
        <b/>
        <sz val="10"/>
        <color rgb="FF000000"/>
        <rFont val="Arial Narrow"/>
        <family val="2"/>
      </rPr>
      <t>Control 10:</t>
    </r>
    <r>
      <rPr>
        <sz val="10"/>
        <color rgb="FF000000"/>
        <rFont val="Arial Narrow"/>
        <family val="2"/>
      </rPr>
      <t xml:space="preserve"> Establecer cuando sea posible, mínimo tres proveedores de trazabilidad externa (de acuerdo a las especificaciones técnicas y política CIPM)
</t>
    </r>
    <r>
      <rPr>
        <b/>
        <sz val="10"/>
        <color rgb="FF000000"/>
        <rFont val="Arial Narrow"/>
        <family val="2"/>
      </rPr>
      <t xml:space="preserve">Responsable: </t>
    </r>
    <r>
      <rPr>
        <sz val="10"/>
        <color rgb="FF000000"/>
        <rFont val="Arial Narrow"/>
        <family val="2"/>
      </rPr>
      <t xml:space="preserve">El responsable del laboratorio 
</t>
    </r>
    <r>
      <rPr>
        <b/>
        <sz val="10"/>
        <color rgb="FF000000"/>
        <rFont val="Arial Narrow"/>
        <family val="2"/>
      </rPr>
      <t xml:space="preserve">Cómo se realiza la actividad:  </t>
    </r>
    <r>
      <rPr>
        <sz val="10"/>
        <color rgb="FF000000"/>
        <rFont val="Arial Narrow"/>
        <family val="2"/>
      </rPr>
      <t xml:space="preserve">Se realiza la selección de mínimo tres proveedores de trazabilidad registrandolo a través del formato M-08-F-009 Plan de Trazabilidad - SMF teniendo en cuenta lo establecido en el procedimiento M-08-P-001 Trazabilidad de las mediciones. 
</t>
    </r>
    <r>
      <rPr>
        <b/>
        <sz val="10"/>
        <color rgb="FF000000"/>
        <rFont val="Arial Narrow"/>
        <family val="2"/>
      </rPr>
      <t xml:space="preserve">Propósito: </t>
    </r>
    <r>
      <rPr>
        <sz val="10"/>
        <color rgb="FF000000"/>
        <rFont val="Arial Narrow"/>
        <family val="2"/>
      </rPr>
      <t xml:space="preserve">Asegurar que se cuenta con más de un proveedor de trazabilidad (cuando sea posible) para tener criterios técnicos adicionales a cuando se cuenta con solo un proveedor de trazabilidad externa. 
</t>
    </r>
    <r>
      <rPr>
        <b/>
        <sz val="10"/>
        <color rgb="FF000000"/>
        <rFont val="Arial Narrow"/>
        <family val="2"/>
      </rPr>
      <t xml:space="preserve">Periodicidad: </t>
    </r>
    <r>
      <rPr>
        <sz val="10"/>
        <color rgb="FF000000"/>
        <rFont val="Arial Narrow"/>
        <family val="2"/>
      </rPr>
      <t xml:space="preserve">Semestral o anual
</t>
    </r>
    <r>
      <rPr>
        <b/>
        <sz val="10"/>
        <color rgb="FF000000"/>
        <rFont val="Arial Narrow"/>
        <family val="2"/>
      </rPr>
      <t xml:space="preserve">Qué pasa con las observaciones o desviaciones: </t>
    </r>
    <r>
      <rPr>
        <sz val="10"/>
        <color rgb="FF000000"/>
        <rFont val="Arial Narrow"/>
        <family val="2"/>
      </rPr>
      <t xml:space="preserve">Si definitavamente se cuenta unicamente con un solo proveedor de trazabilidad metrológica para el o los laboratorios del INM, se registra en el formato M-08-F-009 Plan de Trazabilidad - SMF el porqué solo es un solo proveedor.
</t>
    </r>
    <r>
      <rPr>
        <b/>
        <sz val="10"/>
        <color rgb="FF000000"/>
        <rFont val="Arial Narrow"/>
        <family val="2"/>
      </rPr>
      <t xml:space="preserve">Evidencia de la ejecución del control: </t>
    </r>
    <r>
      <rPr>
        <sz val="10"/>
        <color rgb="FF000000"/>
        <rFont val="Arial Narrow"/>
        <family val="2"/>
      </rPr>
      <t xml:space="preserve">M-08-F-009 Plan de Trazabilidad - SMF
</t>
    </r>
    <r>
      <rPr>
        <b/>
        <sz val="10"/>
        <color rgb="FF000000"/>
        <rFont val="Arial Narrow"/>
        <family val="2"/>
      </rPr>
      <t xml:space="preserve">Documentado: </t>
    </r>
    <r>
      <rPr>
        <sz val="10"/>
        <color rgb="FF000000"/>
        <rFont val="Arial Narrow"/>
        <family val="2"/>
      </rPr>
      <t>Procedimiento M-08-P-001 Trazabilidad de las mediciones</t>
    </r>
  </si>
  <si>
    <t>M08-RF2</t>
  </si>
  <si>
    <t xml:space="preserve">por resultados de calibración externa emitidos por el proveedor de trazabilidad, fuera de los requisitos establecidos por los laboratorios. 
Inadecuada selección del proveedor de trazabilidad externa 
Falta de relacionamiento y comunicación con el proveedor de trazabilidad externa. </t>
  </si>
  <si>
    <t xml:space="preserve">a causa de una debilidad en el seguimiento por parte del personal del INM al proveedor de trazabilidad externa. </t>
  </si>
  <si>
    <t>Posibilidad de efecto dañoso sobre el recurso del INM por resultados de calibración externa emitidos por el proveedor de trazabilidad, fuera de los requisitos establecidos por los laboratorios del INM de Colombia a causa de una debilidad en el seguimiento por parte del personal del INM al proveedor de trazabilidad externa.</t>
  </si>
  <si>
    <r>
      <t>Control 1:</t>
    </r>
    <r>
      <rPr>
        <sz val="10"/>
        <color rgb="FF000000"/>
        <rFont val="Arial Narrow"/>
        <family val="2"/>
      </rPr>
      <t xml:space="preserve"> Verificar que los instrumentos de medición que estuvieron fuera del control del laboratorio cumplen los requisitos especificados antes de reincorporarlos al proceso.
</t>
    </r>
    <r>
      <rPr>
        <b/>
        <sz val="10"/>
        <color rgb="FF000000"/>
        <rFont val="Arial Narrow"/>
        <family val="2"/>
      </rPr>
      <t xml:space="preserve">Responsable:  </t>
    </r>
    <r>
      <rPr>
        <sz val="10"/>
        <color rgb="FF000000"/>
        <rFont val="Arial Narrow"/>
        <family val="2"/>
      </rPr>
      <t xml:space="preserve">El personal del laboratorio.
</t>
    </r>
    <r>
      <rPr>
        <b/>
        <sz val="10"/>
        <color rgb="FF000000"/>
        <rFont val="Arial Narrow"/>
        <family val="2"/>
      </rPr>
      <t xml:space="preserve">Cómo se realiza la actividad: </t>
    </r>
    <r>
      <rPr>
        <sz val="10"/>
        <color rgb="FF000000"/>
        <rFont val="Arial Narrow"/>
        <family val="2"/>
      </rPr>
      <t xml:space="preserve">Se realiza una revisión de funcionamiento y condiciones físicas de los patrones o equipos y los certificados o demás documentación relacionada con la actividad de trazabilidad realizada, elaborando así, un informe para presentar a la subdirección usando el formato E-02-F-011 Modelo de informe. Tomando como base los lineamientos establecidos en los procedimientos M-08-P-001 TRAZABILIDAD DE LAS MEDICIONES DEL INM y el M-01-P-002 PRESTACIÓN DE SERVICIOS DE CALIBRACIÓN O MEDICIÓN EN SITIO. 
</t>
    </r>
    <r>
      <rPr>
        <b/>
        <sz val="10"/>
        <color rgb="FF000000"/>
        <rFont val="Arial Narrow"/>
        <family val="2"/>
      </rPr>
      <t xml:space="preserve">Propósito: </t>
    </r>
    <r>
      <rPr>
        <sz val="10"/>
        <color rgb="FF000000"/>
        <rFont val="Arial Narrow"/>
        <family val="2"/>
      </rPr>
      <t xml:space="preserve">Verifica que los instrumentos de medición que estuvieron fuera del control del laboratorio cumplen los requisitos especificados antes de reincorporarlos al proceso.
</t>
    </r>
    <r>
      <rPr>
        <b/>
        <sz val="10"/>
        <color rgb="FF000000"/>
        <rFont val="Arial Narrow"/>
        <family val="2"/>
      </rPr>
      <t xml:space="preserve">Periodicidad: </t>
    </r>
    <r>
      <rPr>
        <sz val="10"/>
        <color rgb="FF000000"/>
        <rFont val="Arial Narrow"/>
        <family val="2"/>
      </rPr>
      <t xml:space="preserve">Cada vez que retorna un equipo de medición que ha tenido un proceso de trazabilidad externa. 
</t>
    </r>
    <r>
      <rPr>
        <b/>
        <sz val="10"/>
        <color rgb="FF000000"/>
        <rFont val="Arial Narrow"/>
        <family val="2"/>
      </rPr>
      <t xml:space="preserve">Qué pasa con las observaciones o desviaciones: </t>
    </r>
    <r>
      <rPr>
        <sz val="10"/>
        <color rgb="FF000000"/>
        <rFont val="Arial Narrow"/>
        <family val="2"/>
      </rPr>
      <t xml:space="preserve">Si se presenta alguna falla de funcionamiento en los equipos, tomar las medidas necesarias en conjunto con la subdirección.
Si el equipo viene con Declaración de Importación, guardar el número, adjuntar copia de la misma o de los documentos de transporte del Ítem.
</t>
    </r>
    <r>
      <rPr>
        <b/>
        <sz val="10"/>
        <color rgb="FF000000"/>
        <rFont val="Arial Narrow"/>
        <family val="2"/>
      </rPr>
      <t xml:space="preserve">
Evidencia de la ejecución del control: </t>
    </r>
    <r>
      <rPr>
        <sz val="10"/>
        <color rgb="FF000000"/>
        <rFont val="Arial Narrow"/>
        <family val="2"/>
      </rPr>
      <t xml:space="preserve">E-02-F-011 Modelo de informe.
</t>
    </r>
    <r>
      <rPr>
        <b/>
        <sz val="10"/>
        <color rgb="FF000000"/>
        <rFont val="Arial Narrow"/>
        <family val="2"/>
      </rPr>
      <t>Documentado:</t>
    </r>
    <r>
      <rPr>
        <sz val="10"/>
        <color rgb="FF000000"/>
        <rFont val="Arial Narrow"/>
        <family val="2"/>
      </rPr>
      <t xml:space="preserve"> M-08-M-001 Manual de gestión de equipamiento y M-08-P-001 Trazabilidad de las mediciones.</t>
    </r>
  </si>
  <si>
    <t xml:space="preserve">Trazabilidad (interna/externa) con cumplimiento de las actividades planificadas permitiendo analizar, controlar y ajustar según sea necesario para mantener la trazabilidad metrológica de los resultados de sus mediciones al SI </t>
  </si>
  <si>
    <r>
      <rPr>
        <b/>
        <sz val="10"/>
        <color rgb="FF000000"/>
        <rFont val="Arial Narrow"/>
        <family val="2"/>
      </rPr>
      <t>Control 2:</t>
    </r>
    <r>
      <rPr>
        <sz val="10"/>
        <color rgb="FF000000"/>
        <rFont val="Arial Narrow"/>
        <family val="2"/>
      </rPr>
      <t xml:space="preserve"> Establecer cuando sea posible, mínimo tres proveedores de trazabilidad externa (de acuerdo a las especificaciones técnicas y política CIPM)
</t>
    </r>
    <r>
      <rPr>
        <b/>
        <sz val="10"/>
        <color rgb="FF000000"/>
        <rFont val="Arial Narrow"/>
        <family val="2"/>
      </rPr>
      <t xml:space="preserve">Responsable: </t>
    </r>
    <r>
      <rPr>
        <sz val="10"/>
        <color rgb="FF000000"/>
        <rFont val="Arial Narrow"/>
        <family val="2"/>
      </rPr>
      <t xml:space="preserve">El responsable del laboratorio 
</t>
    </r>
    <r>
      <rPr>
        <b/>
        <sz val="10"/>
        <color rgb="FF000000"/>
        <rFont val="Arial Narrow"/>
        <family val="2"/>
      </rPr>
      <t xml:space="preserve">Cómo se realiza la actividad:  </t>
    </r>
    <r>
      <rPr>
        <sz val="10"/>
        <color rgb="FF000000"/>
        <rFont val="Arial Narrow"/>
        <family val="2"/>
      </rPr>
      <t xml:space="preserve">Se realiza la selección de mínimo tres proveedores de trazabilidad registrandolo a través del formato M-08-F-009 Plan de Trazabilidad - SMF teniendo en cuenta lo establecido en el procedimiento M-08-P-001 Trazabilidad de las mediciones. 
</t>
    </r>
    <r>
      <rPr>
        <b/>
        <sz val="10"/>
        <color rgb="FF000000"/>
        <rFont val="Arial Narrow"/>
        <family val="2"/>
      </rPr>
      <t xml:space="preserve">Propósito: </t>
    </r>
    <r>
      <rPr>
        <sz val="10"/>
        <color rgb="FF000000"/>
        <rFont val="Arial Narrow"/>
        <family val="2"/>
      </rPr>
      <t xml:space="preserve">Asegurar que se cuenta con más de un proveedor de trazabilidad (cuando sea posible) para tener criterios técnicos adicionales a cuando se cuenta con solo un proveedor de trazabilidad externa. 
</t>
    </r>
    <r>
      <rPr>
        <b/>
        <sz val="10"/>
        <color rgb="FF000000"/>
        <rFont val="Arial Narrow"/>
        <family val="2"/>
      </rPr>
      <t xml:space="preserve">Periodicidad: </t>
    </r>
    <r>
      <rPr>
        <sz val="10"/>
        <color rgb="FF000000"/>
        <rFont val="Arial Narrow"/>
        <family val="2"/>
      </rPr>
      <t xml:space="preserve">Semestral o anual
</t>
    </r>
    <r>
      <rPr>
        <b/>
        <sz val="10"/>
        <color rgb="FF000000"/>
        <rFont val="Arial Narrow"/>
        <family val="2"/>
      </rPr>
      <t xml:space="preserve">Qué pasa con las observaciones o desviaciones: </t>
    </r>
    <r>
      <rPr>
        <sz val="10"/>
        <color rgb="FF000000"/>
        <rFont val="Arial Narrow"/>
        <family val="2"/>
      </rPr>
      <t xml:space="preserve">Si definitavamente se cuenta unicamente con un solo proveedor de trazabilidad metrológica para el o los laboratorios del INM, se registra en el formato M-08-F-009 Plan de Trazabilidad - SMF el porqué solo es un solo proveedor.
</t>
    </r>
    <r>
      <rPr>
        <b/>
        <sz val="10"/>
        <color rgb="FF000000"/>
        <rFont val="Arial Narrow"/>
        <family val="2"/>
      </rPr>
      <t xml:space="preserve">Evidencia de la ejecución del control: </t>
    </r>
    <r>
      <rPr>
        <sz val="10"/>
        <color rgb="FF000000"/>
        <rFont val="Arial Narrow"/>
        <family val="2"/>
      </rPr>
      <t xml:space="preserve">M-08-F-009 Plan de Trazabilidad - SMF
</t>
    </r>
    <r>
      <rPr>
        <b/>
        <sz val="10"/>
        <color rgb="FF000000"/>
        <rFont val="Arial Narrow"/>
        <family val="2"/>
      </rPr>
      <t xml:space="preserve">Documentado: </t>
    </r>
    <r>
      <rPr>
        <sz val="10"/>
        <color rgb="FF000000"/>
        <rFont val="Arial Narrow"/>
        <family val="2"/>
      </rPr>
      <t>Procedimiento M-08-P-001 Trazabilidad de las mediciones</t>
    </r>
  </si>
  <si>
    <t>Revisar la matriz de trazabilidad asegurando que todos los laboratorios tengan la información de los tres proveedores de trazabilidad externa. Cuando no apliquen los tres proveedores, revisar que la justificación esté incluida en el campo del formato que corresponda</t>
  </si>
  <si>
    <t>Enlaces de calidad de la SMF</t>
  </si>
  <si>
    <r>
      <t>Control 3:</t>
    </r>
    <r>
      <rPr>
        <sz val="11"/>
        <color rgb="FF000000"/>
        <rFont val="Arial Narrow"/>
        <family val="2"/>
      </rPr>
      <t xml:space="preserve"> Realizar seguimiento a los resultados emitidos por parte del proveedor de trazabilidad externa.
</t>
    </r>
    <r>
      <rPr>
        <b/>
        <sz val="11"/>
        <color rgb="FF000000"/>
        <rFont val="Arial Narrow"/>
        <family val="2"/>
      </rPr>
      <t xml:space="preserve">Responsable: </t>
    </r>
    <r>
      <rPr>
        <sz val="11"/>
        <color rgb="FF000000"/>
        <rFont val="Arial Narrow"/>
        <family val="2"/>
      </rPr>
      <t xml:space="preserve">Responsable del laboratorio del INM de Colombia o a quien este designe.
</t>
    </r>
    <r>
      <rPr>
        <b/>
        <sz val="11"/>
        <color rgb="FF000000"/>
        <rFont val="Arial Narrow"/>
        <family val="2"/>
      </rPr>
      <t xml:space="preserve">Cómo se realiza la actividad:  </t>
    </r>
    <r>
      <rPr>
        <sz val="11"/>
        <color rgb="FF000000"/>
        <rFont val="Arial Narrow"/>
        <family val="2"/>
      </rPr>
      <t xml:space="preserve">Solicitar al proveedor de trazabilidad externa los certificados de calibración del equipamiento para revisar los resultados, antes que el equipo o sistema de medición salga de sus instalaciones.
</t>
    </r>
    <r>
      <rPr>
        <b/>
        <sz val="11"/>
        <color rgb="FF000000"/>
        <rFont val="Arial Narrow"/>
        <family val="2"/>
      </rPr>
      <t xml:space="preserve">Propósito: </t>
    </r>
    <r>
      <rPr>
        <sz val="11"/>
        <color rgb="FF000000"/>
        <rFont val="Arial Narrow"/>
        <family val="2"/>
      </rPr>
      <t xml:space="preserve">Realizar cualquier solicitud de revisión o corrección de los resultados, y así no incurrir en nuevos costos de transporte, si la calibración no se ha realizado según los requisitos especificados.
</t>
    </r>
    <r>
      <rPr>
        <b/>
        <sz val="11"/>
        <color rgb="FF000000"/>
        <rFont val="Arial Narrow"/>
        <family val="2"/>
      </rPr>
      <t xml:space="preserve">Periodicidad: </t>
    </r>
    <r>
      <rPr>
        <sz val="11"/>
        <color rgb="FF000000"/>
        <rFont val="Arial Narrow"/>
        <family val="2"/>
      </rPr>
      <t xml:space="preserve">Cada vez que se requiera que un equipo o sistema de medición retorne al INM de Colombia. 
</t>
    </r>
    <r>
      <rPr>
        <b/>
        <sz val="11"/>
        <color rgb="FF000000"/>
        <rFont val="Arial Narrow"/>
        <family val="2"/>
      </rPr>
      <t xml:space="preserve">Qué pasa con las observaciones o desviaciones:  </t>
    </r>
    <r>
      <rPr>
        <sz val="11"/>
        <color rgb="FF000000"/>
        <rFont val="Arial Narrow"/>
        <family val="2"/>
      </rPr>
      <t xml:space="preserve">Si se requiere correcciones a los resultados de medición emitidos por parte del proveedor de trazabilidad externo, se le informa para que se realicen los ajustes necesarios (si aplica). 
</t>
    </r>
    <r>
      <rPr>
        <b/>
        <sz val="11"/>
        <color rgb="FF000000"/>
        <rFont val="Arial Narrow"/>
        <family val="2"/>
      </rPr>
      <t xml:space="preserve">Evidencia de la ejecución del control: </t>
    </r>
    <r>
      <rPr>
        <sz val="11"/>
        <color rgb="FF000000"/>
        <rFont val="Arial Narrow"/>
        <family val="2"/>
      </rPr>
      <t xml:space="preserve">Correo electrónico. 
</t>
    </r>
    <r>
      <rPr>
        <b/>
        <sz val="11"/>
        <color rgb="FF000000"/>
        <rFont val="Arial Narrow"/>
        <family val="2"/>
      </rPr>
      <t xml:space="preserve">Documentado: </t>
    </r>
    <r>
      <rPr>
        <sz val="11"/>
        <color rgb="FF000000"/>
        <rFont val="Arial Narrow"/>
        <family val="2"/>
      </rPr>
      <t>Procedimiento M-08-P-001 TRAZABILIDAD DE LAS MEDICIONES DEL INM</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</si>
  <si>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</si>
  <si>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</si>
  <si>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Casi seguro</t>
  </si>
  <si>
    <t>Probable</t>
  </si>
  <si>
    <t>Posible</t>
  </si>
  <si>
    <t>R1</t>
  </si>
  <si>
    <t>Improbable</t>
  </si>
  <si>
    <t>Rara vez</t>
  </si>
  <si>
    <t>Insignificante</t>
  </si>
  <si>
    <t>Mapa de calor</t>
  </si>
  <si>
    <t>Instructivo de diligenciamiento de la Matriz de Riesgos</t>
  </si>
  <si>
    <t>En el presente instructivo se disponen cada una de las columnas que conforman la Matriz de riesgos, dándose una breve explicación de la información que corresponde en ellas, y las referencias que las determinan, está enlazada con la hoja "Base" en los casos que aplique, dónde se encuentran las tablas que desarrollan la metodología propuesta por el DAFP y otra información complementaria propia del INM.</t>
  </si>
  <si>
    <t>Descripción</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</si>
  <si>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</si>
  <si>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</si>
  <si>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Riesgo</t>
  </si>
  <si>
    <t>Definición (breve) del riesgo identificado.</t>
  </si>
  <si>
    <t>Descripción detallada del riesgo, de tal forma que se pueda dar una mayor comprensión del mismo.</t>
  </si>
  <si>
    <t xml:space="preserve">[lista desplegable] Proceso dónde el logro de los objetivos se puede ver afectado negativamente por una posible materialización del riesgo, es decir, independientemente a quien corresponde establecer los controles para contrarestar las causas, dada la integridad del sistema y el funcionamiento por procesos. La denominación de "tranversal" en el campo, indica que el riesgo tiene cubrimiento transversal a todos los procesos, son eventos identificados que afectan el logro de los objetivos, en este caso el seguimiento se debe dar por cada uno de los procesos.
</t>
  </si>
  <si>
    <t>Clase</t>
  </si>
  <si>
    <t xml:space="preserve">[lista desplegable] Tipología de los riesgos, según la guía de referencia del DAFP.
</t>
  </si>
  <si>
    <t>Activo de Información</t>
  </si>
  <si>
    <t>Activo de información del riesgo, aplica únicamente para los riesgos de seguridad de la información.</t>
  </si>
  <si>
    <t>Factores externos</t>
  </si>
  <si>
    <t xml:space="preserve">Factores externos que inciden sobre el riesgo. En conjunto con los factores internos, conforman el contexto del proceso.
</t>
  </si>
  <si>
    <t>Factores Internos</t>
  </si>
  <si>
    <t>Factores internos que inciden sobre el riesgo. En conjunto con los factores externos, conforman el contexto del proceso.</t>
  </si>
  <si>
    <t>Amenaza</t>
  </si>
  <si>
    <t>Situación potencial de un incidente no deseado, el cual puede ocasionar daño a un sistema o a una organización.</t>
  </si>
  <si>
    <t>Causa / Vulnerabilidad</t>
  </si>
  <si>
    <t xml:space="preserve">Se tiene como causa a todos aquellos factores internos y externos que solos o en combinación con otros, pueden producir la materialización de un riesgo. Para el caso de los riesgos de seguridad digital la vulnerabilidad es una debilidad, atributo, causa o falta de control que permitiría la explotación por parte de una o más amenazas contra los activos. Las causas se deben trabajar de manera separada (una fila para cada causa, no combinarlas en una misma celda) para facilitar el seguimiento dentro de la matriz.
</t>
  </si>
  <si>
    <t>Consecuencias</t>
  </si>
  <si>
    <t xml:space="preserve">Los efectos o situaciones resultantes de la materialización del riesgo que impactan en el proceso, la entidad, sus grupos de valor y demás partes interesadas.
</t>
  </si>
  <si>
    <t xml:space="preserve">[lista desplegable] Se entiende como la posibilidad de ocurrencia del riesgo. Esta puede ser medida con criterios de frecuencia o factibilidad. La tabla de referencia para la selección del valor se encuentra en la hoja "Base" tabla "Nivel Probabilidad".
</t>
  </si>
  <si>
    <t>[lista desplegable] El impacto se entiende como las consecuencias que puede ocasionar a la entidad la materialización del riesgo. Según el tipo de riesgo se evalúa el impacto, es decir, la tabla de impacto es distinta para los riesgos de Gestión (de proceso, estratégicos, de proyecto, de contrato), riesgos de seguridad digital, y riesgos de corrupción. 
Para éstos últimos, el nivel de impacto resulta del cómputo de unos puntajes definidos, es decir, se debe completar la tabla de la hoja "Evaluación impacto Corrupción" donde se contestan las preguntas planteadas y se obtiene el valor de impacto que aplica para cada uno de los riesgos evaluados, y posteriormente, el nivel de impacto del riesgo es trasladado a la matriz de riesgos.</t>
  </si>
  <si>
    <t>Riesgo Inherente</t>
  </si>
  <si>
    <t xml:space="preserve">[Fórmula] Según la selección tanto del impacto (eje x) como de la probabilidad (eje y) se ubica en el mapa de calor el nivel de riesgo inherente.
</t>
  </si>
  <si>
    <t>Tratamiento del Riesgo</t>
  </si>
  <si>
    <t xml:space="preserve">[lista desplegable] En este caso se debe seleccionar que tipo de tratamiento va a dársele al riesgo, seleccionando de la tabla referenciada.
</t>
  </si>
  <si>
    <t>Control</t>
  </si>
  <si>
    <r>
      <t xml:space="preserve">Medida que modifica el riesgo (procesos, políticas, dispositivos, prácticas u otras acciones). Un control puede ser eficiente y ayudar a mitigar varias causas, pero debe ser clara la forma en la que éste actúa. 
El diseño de un control debe cubrir por lo menos con los siguientes aspectos:
1. Debe tener definido el </t>
    </r>
    <r>
      <rPr>
        <b/>
        <sz val="10"/>
        <color theme="1"/>
        <rFont val="Calibri"/>
        <family val="2"/>
        <scheme val="minor"/>
      </rPr>
      <t>responsable</t>
    </r>
    <r>
      <rPr>
        <sz val="10"/>
        <color theme="1"/>
        <rFont val="Calibri"/>
        <family val="2"/>
        <scheme val="minor"/>
      </rPr>
      <t xml:space="preserve"> (cargo responsable, sistema o aplicación) de llevar a cabo la actividad de control. (el control debe estar asignado a un cargo específico, no se deben referenciar áreas de manera general o nombres de personas)
2. Debe tener una </t>
    </r>
    <r>
      <rPr>
        <b/>
        <sz val="10"/>
        <color theme="1"/>
        <rFont val="Calibri"/>
        <family val="2"/>
        <scheme val="minor"/>
      </rPr>
      <t>periodicidad</t>
    </r>
    <r>
      <rPr>
        <sz val="10"/>
        <color theme="1"/>
        <rFont val="Calibri"/>
        <family val="2"/>
        <scheme val="minor"/>
      </rPr>
      <t xml:space="preserve"> definida para su ejecución.
3. Debe indicar cuál es el </t>
    </r>
    <r>
      <rPr>
        <b/>
        <sz val="10"/>
        <color theme="1"/>
        <rFont val="Calibri"/>
        <family val="2"/>
        <scheme val="minor"/>
      </rPr>
      <t>propósito</t>
    </r>
    <r>
      <rPr>
        <sz val="10"/>
        <color theme="1"/>
        <rFont val="Calibri"/>
        <family val="2"/>
        <scheme val="minor"/>
      </rPr>
      <t xml:space="preserve"> del control.
4. Debe establecer </t>
    </r>
    <r>
      <rPr>
        <b/>
        <sz val="10"/>
        <color theme="1"/>
        <rFont val="Calibri"/>
        <family val="2"/>
        <scheme val="minor"/>
      </rPr>
      <t>el cómo</t>
    </r>
    <r>
      <rPr>
        <sz val="10"/>
        <color theme="1"/>
        <rFont val="Calibri"/>
        <family val="2"/>
        <scheme val="minor"/>
      </rPr>
      <t xml:space="preserve"> se realiza la actividad de control.
5. Debe indicar qué pasa con las </t>
    </r>
    <r>
      <rPr>
        <b/>
        <sz val="10"/>
        <color theme="1"/>
        <rFont val="Calibri"/>
        <family val="2"/>
        <scheme val="minor"/>
      </rPr>
      <t>observaciones o desviaciones</t>
    </r>
    <r>
      <rPr>
        <sz val="10"/>
        <color theme="1"/>
        <rFont val="Calibri"/>
        <family val="2"/>
        <scheme val="minor"/>
      </rPr>
      <t xml:space="preserve"> resultantes de ejecutar el control.
6. Debe dejar </t>
    </r>
    <r>
      <rPr>
        <b/>
        <sz val="10"/>
        <color theme="1"/>
        <rFont val="Calibri"/>
        <family val="2"/>
        <scheme val="minor"/>
      </rPr>
      <t>evidencia</t>
    </r>
    <r>
      <rPr>
        <sz val="10"/>
        <color theme="1"/>
        <rFont val="Calibri"/>
        <family val="2"/>
        <scheme val="minor"/>
      </rPr>
      <t xml:space="preserve"> de la ejecución del control.
</t>
    </r>
  </si>
  <si>
    <t>N° Control</t>
  </si>
  <si>
    <t>Numeración de los controles asociados a un solo riesgo. Esto facilita su identificación y referenciación en seguimientos y análisis posteriores.</t>
  </si>
  <si>
    <t>Tipo Control</t>
  </si>
  <si>
    <t xml:space="preserve">[lista desplegable] Las acciones de tratamiento se agrupan en:
- Controles preventivos (disminuyen la probabilidad): acciones encaminadas a gestionar las causas del riesgo.
- Controles detectivos (disminuyen el impacto): acciones encaminadas a disminuir las consecuencias del riesgo, mediante una identificación temprana de la materialización del mismo.
Según el tipo de controles que se apliquen a un riesgo determinado (preventivos o detectivos), mas adelante en la matriz se establece en qué proporción habrá movimiento dentro del mapa de calor de un riesgo inherente inicial a un riesgo residual posterior a la aplicación de controles. Es decir, los tipos de controles aplicados a un riesgo determinan en qué forma se está dando tratamiento al riesgo (redución en la probabilidad de ocurrencia ya sea directa o indirectamente o reducción en el impacto de una posible materialización)
</t>
  </si>
  <si>
    <t>Asignación del responsable</t>
  </si>
  <si>
    <t>[lista desplegable] [Asignado/No asignado] Declaración sobre el diseño del control, con respecto a la asignación del responsable dentro de la redacción del control.</t>
  </si>
  <si>
    <t>Segregación y autoridad del responsable</t>
  </si>
  <si>
    <t>[lista desplegable] [Adecuado/Inadecuado] Declaración sobre el diseño del control, con respecto a que el responsable asignado tenga la segregación de funciones adecuada y autoridad sobre la ejecución del control dentro de la redacción del control.</t>
  </si>
  <si>
    <t>Periodicidad</t>
  </si>
  <si>
    <t>[lista desplegable] [Oportuna/Inoportuna] Declaración sobre el diseño del control, con respecto a la periodicidad de ejecución del mismo  dentro de la redacción del control. Ésta puede ser definida en un periodo de tiempo dado, o puede ser aplicable a cada evento específico que acaece, es decir, se desarrolla uno a uno.</t>
  </si>
  <si>
    <t>Propósito</t>
  </si>
  <si>
    <t>[lista desplegable] [Prevenir/Detectar/No es un control] Declaración sobre el diseño del control, y la inclusión del propósito, es decir, el "para qué" del control que conlleve a prevenir las causas que generan el riesgo o detectar la materialización del riesgo, lo anterior referenciado dentro de la redacción del control.</t>
  </si>
  <si>
    <t>Cómo se realiza la actividad de control</t>
  </si>
  <si>
    <t>[lista desplegable] [Confiable/No confiable] Declaración sobre el diseño del control, --  dentro de la redacción del control.</t>
  </si>
  <si>
    <t>Qué pasa con las observaciones o desviaciones</t>
  </si>
  <si>
    <t>[lista desplegable] [Se investigan y resuelven oportunamente/No se investigan y resuelven oportunamente] Declaración sobre el diseño del control, --  dentro de la redacción del control.</t>
  </si>
  <si>
    <t>Evidencia de la ejecución del control</t>
  </si>
  <si>
    <t>[lista desplegable] [Completa/Imcompleta/No existe] Declaración sobre el diseño del control, --  dentro de la redacción del control.</t>
  </si>
  <si>
    <r>
      <t xml:space="preserve">[Fórmula] </t>
    </r>
    <r>
      <rPr>
        <i/>
        <sz val="10"/>
        <color theme="1"/>
        <rFont val="Calibri"/>
        <family val="2"/>
        <scheme val="minor"/>
      </rPr>
      <t>Aplican las tablas Tabla 6. "Análisis y evaluación de los controles para la mitigación de los riesgos" y Tabla 7. "Peso o participación de cada variable en el diseño del control para la mitigación del riesgo" del numeral 3.2.2 "Valoración de los controles" de la Guía del DAFP "Guía para la administración del riesgo y el diseño de controles en entidades públicas".</t>
    </r>
    <r>
      <rPr>
        <sz val="10"/>
        <color theme="1"/>
        <rFont val="Calibri"/>
        <family val="2"/>
        <scheme val="minor"/>
      </rPr>
      <t xml:space="preserve"> Se responde a la pregunta: ¿Existe un responsable asignado a la ejecución del control?</t>
    </r>
  </si>
  <si>
    <r>
      <t>[Fórmula]</t>
    </r>
    <r>
      <rPr>
        <i/>
        <sz val="10"/>
        <color theme="1"/>
        <rFont val="Calibri"/>
        <family val="2"/>
        <scheme val="minor"/>
      </rPr>
      <t xml:space="preserve"> Aplican las tablas Tabla 6. "Análisis y evaluación de los controles para la mitigación de los riesgos" y Tabla 7. "Peso o participación de cada variable en el diseño del control para la mitigación del riesgo" del numeral 3.2.2 "Valoración de los controles" de la Guía del DAFP "Guía para la administración del riesgo y el diseño de controles en entidades públicas"</t>
    </r>
    <r>
      <rPr>
        <sz val="10"/>
        <color theme="1"/>
        <rFont val="Calibri"/>
        <family val="2"/>
        <scheme val="minor"/>
      </rPr>
      <t xml:space="preserve">. Se responde a la pregunta: ¿El responsable tiene la autoridad y adecuada segregación de funciones en la ejecución del control?
</t>
    </r>
  </si>
  <si>
    <r>
      <t xml:space="preserve">[Fórmula] </t>
    </r>
    <r>
      <rPr>
        <i/>
        <sz val="10"/>
        <color theme="1"/>
        <rFont val="Calibri"/>
        <family val="2"/>
        <scheme val="minor"/>
      </rPr>
      <t>Aplican las tablas Tabla 6. "Análisis y evaluación de los controles para la mitigación de los riesgos" y Tabla 7. "Peso o participación de cada variable en el diseño del control para la mitigación del riesgo" del numeral 3.2.2 "Valoración de los controles" de la Guía del DAFP "Guía para la administración del riesgo y el diseño de controles en entidades públicas"</t>
    </r>
    <r>
      <rPr>
        <sz val="10"/>
        <color theme="1"/>
        <rFont val="Calibri"/>
        <family val="2"/>
        <scheme val="minor"/>
      </rPr>
      <t xml:space="preserve">. Se responde a la pregunta: ¿La oportunidad en que se ejecuta el control ayuda a prevenir la mitigación del riesgo o a detectar la materialización del riesgo de manera oportuna?
</t>
    </r>
  </si>
  <si>
    <r>
      <t xml:space="preserve">[Fórmula] </t>
    </r>
    <r>
      <rPr>
        <i/>
        <sz val="10"/>
        <color theme="1"/>
        <rFont val="Calibri"/>
        <family val="2"/>
        <scheme val="minor"/>
      </rPr>
      <t>Aplican las tablas Tabla 6. "Análisis y evaluación de los controles para la mitigación de los riesgos" y Tabla 7. "Peso o participación de cada variable en el diseño del control para la mitigación del riesgo" del numeral 3.2.2 "Valoración de los controles" de la Guía del DAFP "Guía para la administración del riesgo y el diseño de controles en entidades públicas"</t>
    </r>
    <r>
      <rPr>
        <sz val="10"/>
        <color theme="1"/>
        <rFont val="Calibri"/>
        <family val="2"/>
        <scheme val="minor"/>
      </rPr>
      <t xml:space="preserve">. Se responde a la pregunta: ¿Las actividades que se desarrollan en el control realmente buscan por si sola prevenir o detectar las causas que pueden dar origen al riesgo, ejemplo Verificar, Validar Cotejar, Comparar, Revisar, etc.?
</t>
    </r>
  </si>
  <si>
    <r>
      <t xml:space="preserve">[Fórmula] </t>
    </r>
    <r>
      <rPr>
        <i/>
        <sz val="10"/>
        <color theme="1"/>
        <rFont val="Calibri"/>
        <family val="2"/>
        <scheme val="minor"/>
      </rPr>
      <t>Aplican las tablas Tabla 6. "Análisis y evaluación de los controles para la mitigación de los riesgos" y Tabla 7. "Peso o participación de cada variable en el diseño del control para la mitigación del riesgo" del numeral 3.2.2 "Valoración de los controles" de la Guía del DAFP "Guía para la administración del riesgo y el diseño de controles en entidades públicas".</t>
    </r>
    <r>
      <rPr>
        <sz val="10"/>
        <color theme="1"/>
        <rFont val="Calibri"/>
        <family val="2"/>
        <scheme val="minor"/>
      </rPr>
      <t xml:space="preserve"> Se responde a la pregunta: ¿La fuente de información que se utiliza en el desarrollo del control es información confiable que permita mitigar el riesgo?.
</t>
    </r>
  </si>
  <si>
    <r>
      <t xml:space="preserve">[Fórmula] </t>
    </r>
    <r>
      <rPr>
        <i/>
        <sz val="10"/>
        <color theme="1"/>
        <rFont val="Calibri"/>
        <family val="2"/>
        <scheme val="minor"/>
      </rPr>
      <t>Aplican las tablas Tabla 6. "Análisis y evaluación de los controles para la mitigación de los riesgos" y Tabla 7. "Peso o participación de cada variable en el diseño del control para la mitigación del riesgo" del numeral 3.2.2 "Valoración de los controles" de la Guía del DAFP "Guía para la administración del riesgo y el diseño de controles en entidades públicas"</t>
    </r>
    <r>
      <rPr>
        <sz val="10"/>
        <color theme="1"/>
        <rFont val="Calibri"/>
        <family val="2"/>
        <scheme val="minor"/>
      </rPr>
      <t xml:space="preserve">. Se responde a la pregunta: ¿Las observaciones, desviaciones o diferencias identificadas como resultados de la ejecución del control son investigadas y resueltas de manera oportuna?
</t>
    </r>
  </si>
  <si>
    <r>
      <t xml:space="preserve">[Fórmula] </t>
    </r>
    <r>
      <rPr>
        <i/>
        <sz val="10"/>
        <color theme="1"/>
        <rFont val="Calibri"/>
        <family val="2"/>
        <scheme val="minor"/>
      </rPr>
      <t>Aplican las tablas Tabla 6. "Análisis y evaluación de los controles para la mitigación de los riesgos" y Tabla 7. "Peso o participación de cada variable en el diseño del control para la mitigación del riesgo" del numeral 3.2.2 "Valoración de los controles" de la Guía del DAFP "Guía para la administración del riesgo y el diseño de controles en entidades públicas".</t>
    </r>
    <r>
      <rPr>
        <sz val="10"/>
        <color theme="1"/>
        <rFont val="Calibri"/>
        <family val="2"/>
        <scheme val="minor"/>
      </rPr>
      <t xml:space="preserve"> Se responde a la pregunta: ¿Se deja evidencia o rastro de la ejecución del control, que permita a cualquier tercero con la evidencia, llegar a la misma conclusión?.
</t>
    </r>
  </si>
  <si>
    <t>Total</t>
  </si>
  <si>
    <t xml:space="preserve">[Fórmula] Suma del puntaje total obtenido de la evaluación de diseño del control en las siete (7) preguntas planteadas previamente. El valor máximo alcanzable es de 100.
</t>
  </si>
  <si>
    <t>Diseño del Control</t>
  </si>
  <si>
    <t xml:space="preserve">[Fórmula] Después de evaluar el diseño del control, se define el rango de calificación del diseño del mismo aplicando la tabla referenciada. Si el resultado de las calificaciones del control o el promedio en el diseño de los controles, está por debajo de 96%, se debe establecer un plan de acción que permita tener un control o controles bien diseñados.
</t>
  </si>
  <si>
    <t>Ejecución del Control</t>
  </si>
  <si>
    <t xml:space="preserve">[lista desplegable] En este caso se debe seleccionar el nivel de rigurosidad con que se ha venido ejecutando el control. Si el control es nuevo y no se tiene implementado, entonces se debe castigar con la calificación más baja "Débil" hasta que se tenga información que soporte una implementación del mismo.
</t>
  </si>
  <si>
    <t>Solidez individual del Control</t>
  </si>
  <si>
    <t xml:space="preserve">[Fórmula] Según los valores obtenidos en el diseño y la ejecución del control, se consolidad la solidéz individual del control según la tabla referenciada.
</t>
  </si>
  <si>
    <t>Puntaje de Solidez Individual del Control</t>
  </si>
  <si>
    <t xml:space="preserve">[Fórmula] Dada la selección de la columna anterior se asigna el valor global de solidéz del control según la tabla referenciada.
</t>
  </si>
  <si>
    <t>Requiere plan de acción para fortalecer el control</t>
  </si>
  <si>
    <t xml:space="preserve">[Fórmula] Se identifica la necesidad de plantear acciones que mejoren el control según los valores obtenidos la solidéz individual del control dada la tabla referenciada.
</t>
  </si>
  <si>
    <t>Solidez Promedio del Conjunto de Controles</t>
  </si>
  <si>
    <t>[Fórmula] La solidez del conjunto de controles se obtiene calculando el promedio aritmético simple de la solidéz individual de los controles por cada riesgo.</t>
  </si>
  <si>
    <t>Solidez del
Conjunto
de Controles</t>
  </si>
  <si>
    <t>[Fórmula] Dado el cálculo de la columna anteriro, se categoriza la solidez del conjunto de controles se según la tabla referenciada.</t>
  </si>
  <si>
    <t>Disminuye Probabilidad</t>
  </si>
  <si>
    <t xml:space="preserve">[lista desplegable] Seleccionar si el tipo de controles definidos inside directamente o no afecta la probabilidad de ocurrencia del riesgo.
</t>
  </si>
  <si>
    <t>Disminuye Impacto</t>
  </si>
  <si>
    <t xml:space="preserve">[lista desplegable] Seleccionar si el tipo de controles definidos inside directamente, indirectamente o no afecta el impacto de una posible materialización del riesgo.
</t>
  </si>
  <si>
    <t>Desplazamiento Probabilidad</t>
  </si>
  <si>
    <t xml:space="preserve">[Fórmula] Aplica la tabla N° 8 del numeral 3.2.3 "Nivel de riesgo (riesgo residual)" de la Guía del DAFP "Guía para la administración del riesgo y el diseño de controles en entidades públicas". Si el control es preventivo, hace que disminuya la probabilidad directamente, dicho desplazamiento depende si la solidez del conjunto de controles es fuerte o moderada.
</t>
  </si>
  <si>
    <t>Desplazamiento Impacto</t>
  </si>
  <si>
    <t xml:space="preserve">[Fórmula] Aplica la tabla N° 8 del numeral 3.2.3 "Nivel de riesgo (riesgo residual)" de la Guía del DAFP "Guía para la administración del riesgo y el diseño de controles en entidades públicas". Si el control es detectivo, hace que disminuya el impacto de forma directa o indirecta, dicho desplazamiento depende si la solidez del conjunto de controles es fuerte o moderada.
</t>
  </si>
  <si>
    <t>Riesgo Residual</t>
  </si>
  <si>
    <t xml:space="preserve">[Fórmula] Es el nivel de riesgo resultante después de aplicados los controles, por lo tanto, es producto del desplazamiento tanto en probabilidad como impacto dentro del mapa de calor, y depende del tipo de controles que se hayan establecido, es decir, si son preventivos o detectivos.
</t>
  </si>
  <si>
    <t>Actividades de Control</t>
  </si>
  <si>
    <t xml:space="preserve">Son las acciones establecidas a través de políticas y procedimientos que contribuyen a garantizar que se lleven a cabo las instrucciones de la dirección para mitigar los riesgos que inciden en el cumplimiento de los objetivos.
Éstas actividades son aquellas que se plantean para mejorar control, enfocándose en el nivel de riesgo residual que se haya obtenido, y propendiendo por llevarlo al nivel de riesgo aceptable (apetito del riesgo) que el INM ha definido en su Política de Riesgos.
</t>
  </si>
  <si>
    <t xml:space="preserve">Evidencia que soporta el cumplimiento de la actividad de control referenciada.
</t>
  </si>
  <si>
    <t xml:space="preserve">Persona responsable por el desarrollo y cumplimiento de la actividad de control.
</t>
  </si>
  <si>
    <t>Fecha límite</t>
  </si>
  <si>
    <t xml:space="preserve">Peridodo razonable para el cumplimiento de la actividad de control establecido por el responsable de la misma.
</t>
  </si>
  <si>
    <t>Indicador Clave de Riesgo</t>
  </si>
  <si>
    <t xml:space="preserve">Por último se formulan los indicadores clave de riesgo (KRI por sus siglas en ingles) que permitan monitorear el cumplimiento (eficacia) e impacto (efectividad) de las actividades de control, siempre y cuando conduzcan a la toma de decisiones (Por riesgo identificado en los procesos).
</t>
  </si>
  <si>
    <t>Por último, se registra el seguimiento de las tres líneas de defensa del INM.
Para la primera línea de defensa (columnas AP-AS, BC-BF, BP-BS y CC-CF) y la segunda línea de defensa (columnas AU-AW, BH-BJ, BU-BW y CH-CJ), el seguimiento se realiza trimestralmente para cada riesgo. Este seguimiento se basa en las preguntas que se encuentran en cada celda, las cuales sirven como guía para el análisis de los riesgos y sus respectivos controles. Se registra la fecha de seguimiento, el nombre de quien lo realiza, una descripción del cumplimiento de la ejecución del control, evidencia y/o observaciones, y si el riesgo se materializa o no.
En cuanto a la tercera línea de defensa, el seguimiento se lleva a cabo de acuerdo con el plan de auditoría de control interno.</t>
  </si>
  <si>
    <t>Riesgo de Corrupción</t>
  </si>
  <si>
    <t>¿Afecta al grupo de funcionarios del proceso?</t>
  </si>
  <si>
    <t>¿Afecta el cumplimiento de metas y objetivos de la dependencia?</t>
  </si>
  <si>
    <t>¿Afecta el cumplimiento de misión de la entidad?</t>
  </si>
  <si>
    <t>¿Afecta el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</si>
  <si>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</si>
  <si>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</si>
  <si>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</si>
  <si>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al detrimento de calidad de vida de la comunidad por la pérdida del bien, servicios o recursos públicos?</t>
  </si>
  <si>
    <t>¿Genera pérdida de información de la entidad?</t>
  </si>
  <si>
    <t>¿Genera intervención de los órganos de control, de la Fiscalía u otro ente?</t>
  </si>
  <si>
    <t>¿Da lugar a procesos sancionatorios?</t>
  </si>
  <si>
    <t>¿Da lugar a procesos disciplinarios?</t>
  </si>
  <si>
    <t>¿Da lugar a procesos fiscales?</t>
  </si>
  <si>
    <t>¿Da lugar a procesos penales?</t>
  </si>
  <si>
    <t>¿Genera pérdida de credibilidad del sector?</t>
  </si>
  <si>
    <t>¿Ocasiona lesiones físicas o pérdida de vidas humanas?</t>
  </si>
  <si>
    <t>¿Afecta la imagen regional?</t>
  </si>
  <si>
    <t>¿Afecta la imagen nacional?</t>
  </si>
  <si>
    <t>¿Genera daño ambiental?</t>
  </si>
  <si>
    <t>Total "SI"</t>
  </si>
  <si>
    <t>Nivel de Impacto del Riesgo</t>
  </si>
  <si>
    <t>A01-RC01</t>
  </si>
  <si>
    <t>Posibilidad de recibir o solicitar cualquier dádiva o beneficio a nombre propio o de terceros con el fin de ocultar o alterar registros contables</t>
  </si>
  <si>
    <t>SI</t>
  </si>
  <si>
    <t>NO</t>
  </si>
  <si>
    <t>A01-RC02</t>
  </si>
  <si>
    <t xml:space="preserve">Posibilidad de recibir o solicitar cualquier dádiva o beneficio a nombre propio o de terceros con el fin de afectar rubros que no corresponden con el objeto del gasto teniendo en cuenta la desagregración del presupuesto aprobada. </t>
  </si>
  <si>
    <t>A07-RC02</t>
  </si>
  <si>
    <t xml:space="preserve">Posibilidad de recibir o solicitar cualquier dádiva o beneficio a nombre propio o de terceros con el fin de hacer indebida supervisión en la ejecución de los contratos. </t>
  </si>
  <si>
    <t>M02-RC01</t>
  </si>
  <si>
    <t>Posibilidad de recibir o solicitar cualquier dádiva o beneficio a nombre propio o de terceros con el fin de elaborar constancias de asistencia con información que no corresponde con lo cotizado o inexistente</t>
  </si>
  <si>
    <t>A08-RC01</t>
  </si>
  <si>
    <t>Posibilidad de recibir o solicitar cualquier dádiva o beneficio a nombre propio o de terceros con el fin de priorizar la atención de los servicios metrológicos cuando se presenta una excesiva demanda, sobre clientes con servicios solicitados o programados</t>
  </si>
  <si>
    <t>A08-RC02</t>
  </si>
  <si>
    <t>Posibilidad de recibir o solicitar cualquier dádiva o beneficio a nombre propio o de terceros con el fin que existan pagos que no correspondan con los ítems y condiciones para la prestación de los servicios pactados en las cotizaciones (versus), los certificados e informes emitidos durante la prestación del servicio metrológico.</t>
  </si>
  <si>
    <t>A05-RC01</t>
  </si>
  <si>
    <t>Posibilidad de recibir o solicitar cualquier dádiva o beneficio a nombre propio o de terceros con el fin de hacer hurto de los bienes del INM.</t>
  </si>
  <si>
    <t>A03-RC01</t>
  </si>
  <si>
    <t xml:space="preserve">Posibilidad de recibir o solicitar cualquier dádiva o beneficio a nombre propio o de terceros con el fin de filtrar información estratégica o confidencial que pueda usarse para ilicitos o favorecer intereses particulares, por acceso no autorizado a  personal a la información del archivo central </t>
  </si>
  <si>
    <t>A05-RC02</t>
  </si>
  <si>
    <t>Posibilidad de recibir o solicitar dádivas o beneficios, ya sea a nombre propio o de terceros, con el propósito de favorecer la adquisición de materiales o equipos específicos de ciertos proveedores sin justificación técnica adecuada.</t>
  </si>
  <si>
    <t>A05-RC03</t>
  </si>
  <si>
    <t>Posibilidad de recibir o solicitar dádivas o beneficios, ya sea a nombre propio o de terceros, con el propósito de modificar las especificaciones técnicas en los términos de referencia para excluir o favorecer a determinados competidores en Comercio Exterior.</t>
  </si>
  <si>
    <t>M01-RC01</t>
  </si>
  <si>
    <t>Posibilidad de recibir o solicitar dádivas o beneficios a nombre propio o de terceros con el fin de alterar resultados en los certificados de calibración o medición, procesos técnicos, metodologías o en la producción de materiales de referencia o métodos analíticos.</t>
  </si>
  <si>
    <t>M01-RC02</t>
  </si>
  <si>
    <t>Posibilidad de recibir o solicitar cualquier dádiva o beneficio a nombre propio o de terceros con el fin de realizar servicios de calibración o medición fuera del alcance de la oferta de los servicios, de la infraestructura instalada o de los patrones que componen el sistema de medición</t>
  </si>
  <si>
    <t>M01-RC03</t>
  </si>
  <si>
    <t>Posibilidad de recibir o solicitar cualquier dádiva o beneficio a nombre propio o de terceros con el fin de ejercer presiones indebidas frente a los resultados del cliente interno</t>
  </si>
  <si>
    <t>M01-RC04</t>
  </si>
  <si>
    <t>Posibilidad de recibir o solicitar cualquier dádiva o beneficio a nombre propio o de terceros con el fin de usar información técnica para favorecer intereses particulares o de un tercero.</t>
  </si>
  <si>
    <t>M03-RC01</t>
  </si>
  <si>
    <t>Posibilidad de recibir o solicitar cualquier dádiva o beneficio a nombre propio o de terceros con el fin de priorizar las producciones de Materiales de Referencia</t>
  </si>
  <si>
    <t>M03-RC02</t>
  </si>
  <si>
    <t>Posibilidad de recibir o solicitar cualquier dádiva o beneficio a nombre propio o de terceros para usar materiales, insumos o reactivos del laboratorio indebidamente para fines personales o externos.</t>
  </si>
  <si>
    <t>A04-RC01</t>
  </si>
  <si>
    <t>Posibilidad de recibir o solicitar cualquier dádiva o beneficio a nombre propio o de terceros con el fin de vincular servidores públicos sin cumplimiento de requisitos para ejercer el cargo, según lo establecido en el manual de funciones y competencias laborales.</t>
  </si>
  <si>
    <t>C01-RC01</t>
  </si>
  <si>
    <t xml:space="preserve">Posibilidad de recibir o solicitar cualquier dádiva o beneficio a nombre propio o de terceros con el fin que no se realice auditoría a un proceso o un tema en especial. </t>
  </si>
  <si>
    <t>E03-RC01</t>
  </si>
  <si>
    <t>Posibilidad de recibir o solicitar cualquier dádiva o beneficio a nombre propio o de terceros con el fin de manipular la información que se comunica a las partes interesadas.</t>
  </si>
  <si>
    <t>M05-RC01</t>
  </si>
  <si>
    <t>Posibilidad de recibir o solicitar cualquier dádiva o beneficio a nombre propio o de terceros con el fin de filtrar información clave durante el desarrollo del ensayo de aptitud a través del personal que tiene acceso a esta información</t>
  </si>
  <si>
    <t>M05-RC02</t>
  </si>
  <si>
    <t>Posibilidad de recibir o solicitar cualquier dádiva o beneficio a nombre propio o de terceros con el fin de alterar resultados del ensayo de aptitud, cambiando los análisis estadísticos</t>
  </si>
  <si>
    <t>M04-RC01</t>
  </si>
  <si>
    <t>Posibilidad de recibir o solicitar cualquier dádiva o beneficio a nombre propio o de terceros con el fin de filtrar información clave durante y posterior al desarrollo de la asistencia técnica a través del personal que tiene acceso a esta información</t>
  </si>
  <si>
    <t>E04-RC1</t>
  </si>
  <si>
    <t>Posibilidad de recibir o solicitar cualquier dádiva o beneficio a nombre propio o de terceros con el fin de realizar el ocultamiento o trámite no oportuno de una  denuncia/reclamo/queja que afecte directamente a un funcionario debido a sus actuaciones desviadas del interés público</t>
  </si>
  <si>
    <t>E01-RC01</t>
  </si>
  <si>
    <t>Posibilidad de recibir o solicitar dádivas o beneficios a nombre propio o de terceros con el fin de omitir o manipular la información del reporte del seguimiento de los proyectos de inversión del INM</t>
  </si>
  <si>
    <t>E01-RC02</t>
  </si>
  <si>
    <t>Posibilidad de recibir o solicitar dádivas o beneficios a nombre propio o de terceros con el fin de  tramitar traslados presupuestales sin el cumplimiento de requisitos y de la cadena de valor en la ejecución de los proyectos.</t>
  </si>
  <si>
    <t>E05-RC01</t>
  </si>
  <si>
    <t>Posibilidad de recibir o solicitar dádivas o beneficios a nombre propio o de terceros por falta de transparencia por parte de los profesionales de la OIDT en cambios o actualizaciones de software</t>
  </si>
  <si>
    <t>E05-RC02</t>
  </si>
  <si>
    <t>Posibilidad de recibir o solicitar dádivas o beneficios a nombre propio o de terceros  por otorgamiento de accesos indebidos o no autorizados</t>
  </si>
  <si>
    <t>#</t>
  </si>
  <si>
    <t>ID ISOLUCIÓN</t>
  </si>
  <si>
    <t>Acción para abordar el riesgo</t>
  </si>
  <si>
    <t>Se puede presentar cuando no se realiza un registro de los registros contables por ocultamiento o alteración de información por algún tipo de contraprestación para favorecer intereses propios o particulares desviando la gestión de lo público en beneficio de lo privado.
Acción u omisión: No registro oportuno o completo de las transacciones contables.
Uso del Poder: Profesional especializado con funciones de contador.
Desviar la gestión de lo público: ocultamiento de información o evidencia de información alterada.
Beneficio privado: Desconocimiento de obligaciones o compromisos con la entidad para beneficio propio o de terceros.</t>
  </si>
  <si>
    <t>Inicia desde la desagregación del presupuesto de gastos e ingresos y termina con la gestión del pago y el registro de las operaciones.</t>
  </si>
  <si>
    <t>Corrupción</t>
  </si>
  <si>
    <t>Registros contables</t>
  </si>
  <si>
    <t>Intereses particulares</t>
  </si>
  <si>
    <t>Intereses particulares
Proceso, documentación y controles</t>
  </si>
  <si>
    <t>Insuficiencia en la definición y aplicación de los  controles establecidos para emisión de los registros contables</t>
  </si>
  <si>
    <t>Ocultamiento de información.
No confiabilidad de la información para la toma de decisiones.
Investigaciones disciplinarias, fiscales y legales.
Pérdida de la imagen institucional.</t>
  </si>
  <si>
    <t>Reducir</t>
  </si>
  <si>
    <r>
      <rPr>
        <b/>
        <sz val="8"/>
        <color rgb="FF000000"/>
        <rFont val="Calibri"/>
        <family val="2"/>
        <scheme val="minor"/>
      </rPr>
      <t>Control</t>
    </r>
    <r>
      <rPr>
        <sz val="8"/>
        <color rgb="FF000000"/>
        <rFont val="Calibri"/>
        <family val="2"/>
        <scheme val="minor"/>
      </rPr>
      <t xml:space="preserve">: Realizar Conciliaciones contables
</t>
    </r>
    <r>
      <rPr>
        <b/>
        <sz val="8"/>
        <color rgb="FF000000"/>
        <rFont val="Calibri"/>
        <family val="2"/>
        <scheme val="minor"/>
      </rPr>
      <t>Propósito</t>
    </r>
    <r>
      <rPr>
        <sz val="8"/>
        <color rgb="FF000000"/>
        <rFont val="Calibri"/>
        <family val="2"/>
        <scheme val="minor"/>
      </rPr>
      <t xml:space="preserve">: Confirmar el registro íntegro de las partidas que afectan los estados financieros.
</t>
    </r>
    <r>
      <rPr>
        <b/>
        <sz val="8"/>
        <color rgb="FF000000"/>
        <rFont val="Calibri"/>
        <family val="2"/>
        <scheme val="minor"/>
      </rPr>
      <t>Responsable</t>
    </r>
    <r>
      <rPr>
        <sz val="8"/>
        <color rgb="FF000000"/>
        <rFont val="Calibri"/>
        <family val="2"/>
        <scheme val="minor"/>
      </rPr>
      <t xml:space="preserve">: Profesional Especializado con funciones de Contador.
</t>
    </r>
    <r>
      <rPr>
        <b/>
        <sz val="8"/>
        <color rgb="FF000000"/>
        <rFont val="Calibri"/>
        <family val="2"/>
        <scheme val="minor"/>
      </rPr>
      <t>¿Cómo se hace el control?</t>
    </r>
    <r>
      <rPr>
        <sz val="8"/>
        <color rgb="FF000000"/>
        <rFont val="Calibri"/>
        <family val="2"/>
        <scheme val="minor"/>
      </rPr>
      <t xml:space="preserve">: Con el procedimiento de Conciliaciones Contables, se da a lugar a recibir información por parte de las áreas, que alimentan los estados financieros de la Entidad.  Se realiza la conciliación y se ajustan las cifras cuando sea procedente.
</t>
    </r>
    <r>
      <rPr>
        <b/>
        <sz val="8"/>
        <color rgb="FF000000"/>
        <rFont val="Calibri"/>
        <family val="2"/>
        <scheme val="minor"/>
      </rPr>
      <t>Periodicidad</t>
    </r>
    <r>
      <rPr>
        <sz val="8"/>
        <color rgb="FF000000"/>
        <rFont val="Calibri"/>
        <family val="2"/>
        <scheme val="minor"/>
      </rPr>
      <t xml:space="preserve">: Mensual.
</t>
    </r>
    <r>
      <rPr>
        <b/>
        <sz val="8"/>
        <color rgb="FF000000"/>
        <rFont val="Calibri"/>
        <family val="2"/>
        <scheme val="minor"/>
      </rPr>
      <t>Evidencia</t>
    </r>
    <r>
      <rPr>
        <sz val="8"/>
        <color rgb="FF000000"/>
        <rFont val="Calibri"/>
        <family val="2"/>
        <scheme val="minor"/>
      </rPr>
      <t xml:space="preserve">: Registro de Conciliación. A-01-F-014 "Conciliaciones contables".
</t>
    </r>
    <r>
      <rPr>
        <b/>
        <sz val="8"/>
        <color rgb="FF000000"/>
        <rFont val="Calibri"/>
        <family val="2"/>
        <scheme val="minor"/>
      </rPr>
      <t>Desviaciones/Observaciones</t>
    </r>
    <r>
      <rPr>
        <sz val="8"/>
        <color rgb="FF000000"/>
        <rFont val="Calibri"/>
        <family val="2"/>
        <scheme val="minor"/>
      </rPr>
      <t xml:space="preserve">: Si se identifican faltantes de registros contables, el Profesional Especializado con funciones de Contador, informa al Director General y Secretario General en la presentación para aprobación y publicación de los estados financieros mensuales, y de ser el caso al Equipo Transversal de sostenibilidad contable   mediante reuniones y el registro del acta correspondiente. Posteriormente se presentará la respectiva denuncia ante las autoridades competentes, si llegara a ser el caso.
</t>
    </r>
    <r>
      <rPr>
        <b/>
        <sz val="8"/>
        <color rgb="FF000000"/>
        <rFont val="Calibri"/>
        <family val="2"/>
        <scheme val="minor"/>
      </rPr>
      <t>Documentado</t>
    </r>
    <r>
      <rPr>
        <sz val="8"/>
        <color rgb="FF000000"/>
        <rFont val="Calibri"/>
        <family val="2"/>
        <scheme val="minor"/>
      </rPr>
      <t>: A-01-P-015  Conciliaciones contables.</t>
    </r>
  </si>
  <si>
    <t>Asignado</t>
  </si>
  <si>
    <t>Adecuado</t>
  </si>
  <si>
    <t>Oportuna</t>
  </si>
  <si>
    <t>Prevenir</t>
  </si>
  <si>
    <t>Confiable</t>
  </si>
  <si>
    <t>Se investigan y resuelven oportunamente</t>
  </si>
  <si>
    <t>Completa</t>
  </si>
  <si>
    <t>Fuerte</t>
  </si>
  <si>
    <t>Directamente</t>
  </si>
  <si>
    <t>Validar la integridad en la revisión de procesos o razonabilidad en las partidas que componen los estados financieros</t>
  </si>
  <si>
    <t>Conciliaciones contables refrendadas por las partes que generan información financiera</t>
  </si>
  <si>
    <t>Profesional especializado con funciones de contador
Responsables de los procesos que generan información financiera</t>
  </si>
  <si>
    <t xml:space="preserve">
Se puede presentar cuando por desconocimiento del funcionario o de la persona que realiza la labor, no tiene claro el principio de especialización del gasto. O con el pleno conocimiento, se puede realizar la acción de un registro inadecuado generando una mala afectación de un rubro de gasto.  
Acción u omisión: Afectar rubros que no corresponden con el objeto del gasto.
Uso del Poder: Profesional especializado con funciones de presupuesto.
Desviar la gestión de lo público: obstaculizar el trámite de un documento, afectar recursos presupuestales que no correspondan con la actividad misional de la entidad.
Beneficio privado: en beneficio propio o a cambio de una retribución económica de un tercero. </t>
  </si>
  <si>
    <t xml:space="preserve">Insuficiencia en los controles establecidos en el proceso de expedición de CDP.
El profesional responsable de la desagregación no registra correctamente la información en el sistema SIIF. </t>
  </si>
  <si>
    <t>Mala destinación y ejecución de los recursos asignados a la entidad.
Pérdida de imagen institucional
No confiabilidad en los informes presupuestales generados.
Apertura de procesos disciplinarios, penales y fiscales.</t>
  </si>
  <si>
    <r>
      <rPr>
        <b/>
        <sz val="8"/>
        <color rgb="FF000000"/>
        <rFont val="Calibri"/>
        <family val="2"/>
        <scheme val="minor"/>
      </rPr>
      <t>Control 1</t>
    </r>
    <r>
      <rPr>
        <sz val="8"/>
        <color rgb="FF000000"/>
        <rFont val="Calibri"/>
        <family val="2"/>
        <scheme val="minor"/>
      </rPr>
      <t xml:space="preserve">: Verificar la información que contiene la solicitud de CDP, específicamente existencia del recurso, rubro afectado, objeto de gasto, entre otros aspectos. 
</t>
    </r>
    <r>
      <rPr>
        <b/>
        <sz val="8"/>
        <color rgb="FF000000"/>
        <rFont val="Calibri"/>
        <family val="2"/>
        <scheme val="minor"/>
      </rPr>
      <t>¿Cómo se hace el control?</t>
    </r>
    <r>
      <rPr>
        <sz val="8"/>
        <color rgb="FF000000"/>
        <rFont val="Calibri"/>
        <family val="2"/>
        <scheme val="minor"/>
      </rPr>
      <t xml:space="preserve">: Una vez llegan las solicitudes por parte de las áreas, se realiza una revisión de los documentos, cruzando la información contenida contra la registrada en los sistemas de información (SIIF Nación II). Revisar que las solicitudes cuenten con las firmas y vistos buenos de los responsables. 
</t>
    </r>
    <r>
      <rPr>
        <b/>
        <sz val="8"/>
        <color rgb="FF000000"/>
        <rFont val="Calibri"/>
        <family val="2"/>
        <scheme val="minor"/>
      </rPr>
      <t>Propósito:</t>
    </r>
    <r>
      <rPr>
        <sz val="8"/>
        <color rgb="FF000000"/>
        <rFont val="Calibri"/>
        <family val="2"/>
        <scheme val="minor"/>
      </rPr>
      <t xml:space="preserve"> Prevenir inconsistencias en la información contenida en los CDPs que se expidan.
</t>
    </r>
    <r>
      <rPr>
        <b/>
        <sz val="8"/>
        <color rgb="FF000000"/>
        <rFont val="Calibri"/>
        <family val="2"/>
        <scheme val="minor"/>
      </rPr>
      <t>Responsable</t>
    </r>
    <r>
      <rPr>
        <sz val="8"/>
        <color rgb="FF000000"/>
        <rFont val="Calibri"/>
        <family val="2"/>
        <scheme val="minor"/>
      </rPr>
      <t xml:space="preserve">: Profesional Especializado con funciones de Presupuesto.
</t>
    </r>
    <r>
      <rPr>
        <b/>
        <sz val="8"/>
        <color rgb="FF000000"/>
        <rFont val="Calibri"/>
        <family val="2"/>
        <scheme val="minor"/>
      </rPr>
      <t>Periodicidad:</t>
    </r>
    <r>
      <rPr>
        <sz val="8"/>
        <color rgb="FF000000"/>
        <rFont val="Calibri"/>
        <family val="2"/>
        <scheme val="minor"/>
      </rPr>
      <t xml:space="preserve"> Uno a uno en cada operación.
</t>
    </r>
    <r>
      <rPr>
        <b/>
        <sz val="8"/>
        <color rgb="FF000000"/>
        <rFont val="Calibri"/>
        <family val="2"/>
        <scheme val="minor"/>
      </rPr>
      <t>Evidencia</t>
    </r>
    <r>
      <rPr>
        <sz val="8"/>
        <color rgb="FF000000"/>
        <rFont val="Calibri"/>
        <family val="2"/>
        <scheme val="minor"/>
      </rPr>
      <t xml:space="preserve">: A-01-F-001 Solicitud de CDP con nota de observación por parte de Presupuesto. Registro en el Libro de Control de Recibido y Entrega de Documentos. Correo electrónico con la explicación sobre la devolución (a partir de la medida de confinamiento). 
</t>
    </r>
    <r>
      <rPr>
        <b/>
        <sz val="8"/>
        <color rgb="FF000000"/>
        <rFont val="Calibri"/>
        <family val="2"/>
        <scheme val="minor"/>
      </rPr>
      <t>Desviaciones/Observaciones</t>
    </r>
    <r>
      <rPr>
        <sz val="8"/>
        <color rgb="FF000000"/>
        <rFont val="Calibri"/>
        <family val="2"/>
        <scheme val="minor"/>
      </rPr>
      <t xml:space="preserve">: Si se identifican inconsistencias en la revisión de la información, el Profesional Especializado con funciones de Presupuesto devuelve a la mano o por correo electrónico indicando el motivo de la devolución con copia a la Coordinación Financiera y áreas competentes, para que se tomen las actuaciones que sean pertinentes dado el caso. En caso de detectar una posible afectación de rubros para favorecer intereses particulares, se informa al área disciplinaria competente en el INM, para iniciar las acciones correspondientes.
</t>
    </r>
    <r>
      <rPr>
        <b/>
        <sz val="8"/>
        <color rgb="FF000000"/>
        <rFont val="Calibri"/>
        <family val="2"/>
        <scheme val="minor"/>
      </rPr>
      <t>Documentado</t>
    </r>
    <r>
      <rPr>
        <sz val="8"/>
        <color rgb="FF000000"/>
        <rFont val="Calibri"/>
        <family val="2"/>
        <scheme val="minor"/>
      </rPr>
      <t>: Procedimiento A-01-P-002 Expedición de Certificado de Disponibilidad Presupuestal.  Procedimiento A-01-P-003 Expedición de Registros Presupuestales.</t>
    </r>
  </si>
  <si>
    <t xml:space="preserve">Socializar los roles y responsabilidades de las líneas de defensa de MIPG. </t>
  </si>
  <si>
    <t>Listado de asistencia 
Evaluación de conocimiento</t>
  </si>
  <si>
    <t xml:space="preserve">Expedición de CDP dentro de las 24 horas posteriores a la solicitud recibida para la gestión eficiente, oportuna, transparente y permanente de los recursos financieros del INM fortaleciendo la capacidad administrativa y de desempeño institucional. 
Expedición de RP dentro de las 24 horas posteriores a la solicitud recibida para la gestión eficiente, oportuna, transparente y permanente de los recursos financieros del INM fortaleciendo la capacidad administrativa y de desempeño institucional. </t>
  </si>
  <si>
    <t xml:space="preserve">Posibilidad de recibir o solicitar cualquier dádiva o beneficio a nombre propio o de terceros con el fin de afectar rubros que no corresponden con el objeto del gasto teniendo en cuenta la desagregación del presupuesto aprobada. </t>
  </si>
  <si>
    <r>
      <rPr>
        <b/>
        <sz val="8"/>
        <color rgb="FF000000"/>
        <rFont val="Calibri"/>
        <family val="2"/>
        <scheme val="minor"/>
      </rPr>
      <t>Control 2</t>
    </r>
    <r>
      <rPr>
        <sz val="8"/>
        <color rgb="FF000000"/>
        <rFont val="Calibri"/>
        <family val="2"/>
        <scheme val="minor"/>
      </rPr>
      <t xml:space="preserve">: Elaboración de informes periódicos de ejecuciones presupuestales que se expiden por parte del Profesional de Presupuesto y que se envían a las áreas para su revisión, detección de posibles inconsistencias o para el seguimiento de ejecución presupuestal. Solicitud de segunda revisión en el momento de entregar el CDP al solicitante.  
</t>
    </r>
    <r>
      <rPr>
        <b/>
        <sz val="8"/>
        <color rgb="FF000000"/>
        <rFont val="Calibri"/>
        <family val="2"/>
        <scheme val="minor"/>
      </rPr>
      <t>¿Cómo se hace el control?</t>
    </r>
    <r>
      <rPr>
        <sz val="8"/>
        <color rgb="FF000000"/>
        <rFont val="Calibri"/>
        <family val="2"/>
        <scheme val="minor"/>
      </rPr>
      <t xml:space="preserve">: Semanal y mensualmente, el profesional de presupuesto elabora y envía a las áreas informes periódicos de ejecuciones presupuestales,  solicitando su revisión. 
</t>
    </r>
    <r>
      <rPr>
        <b/>
        <sz val="8"/>
        <color rgb="FF000000"/>
        <rFont val="Calibri"/>
        <family val="2"/>
        <scheme val="minor"/>
      </rPr>
      <t>Propósito</t>
    </r>
    <r>
      <rPr>
        <sz val="8"/>
        <color rgb="FF000000"/>
        <rFont val="Calibri"/>
        <family val="2"/>
        <scheme val="minor"/>
      </rPr>
      <t xml:space="preserve">: Detectar, analizar y toma de decisiones sobre los informes de ejecución de gastos por parte de los interesados.
</t>
    </r>
    <r>
      <rPr>
        <b/>
        <sz val="8"/>
        <color rgb="FF000000"/>
        <rFont val="Calibri"/>
        <family val="2"/>
        <scheme val="minor"/>
      </rPr>
      <t>Responsable</t>
    </r>
    <r>
      <rPr>
        <sz val="8"/>
        <color rgb="FF000000"/>
        <rFont val="Calibri"/>
        <family val="2"/>
        <scheme val="minor"/>
      </rPr>
      <t xml:space="preserve">: Profesional Especializado con funciones de Presupuesto.
</t>
    </r>
    <r>
      <rPr>
        <b/>
        <sz val="8"/>
        <color rgb="FF000000"/>
        <rFont val="Calibri"/>
        <family val="2"/>
        <scheme val="minor"/>
      </rPr>
      <t>Periodicidad</t>
    </r>
    <r>
      <rPr>
        <sz val="8"/>
        <color rgb="FF000000"/>
        <rFont val="Calibri"/>
        <family val="2"/>
        <scheme val="minor"/>
      </rPr>
      <t xml:space="preserve">:  Semanal y mensual.
</t>
    </r>
    <r>
      <rPr>
        <b/>
        <sz val="8"/>
        <color rgb="FF000000"/>
        <rFont val="Calibri"/>
        <family val="2"/>
        <scheme val="minor"/>
      </rPr>
      <t>Evidencia</t>
    </r>
    <r>
      <rPr>
        <sz val="8"/>
        <color rgb="FF000000"/>
        <rFont val="Calibri"/>
        <family val="2"/>
        <scheme val="minor"/>
      </rPr>
      <t xml:space="preserve">: Correos electrónicos a los profesionales y dependencias del INM de la ejecución de gastos de funcionamiento e inversión, con los informes de ejecución generados por el sistema SIIF NACION II - MHCP.
</t>
    </r>
    <r>
      <rPr>
        <b/>
        <sz val="8"/>
        <color rgb="FF000000"/>
        <rFont val="Calibri"/>
        <family val="2"/>
        <scheme val="minor"/>
      </rPr>
      <t>Desviaciones/Observaciones</t>
    </r>
    <r>
      <rPr>
        <sz val="8"/>
        <color rgb="FF000000"/>
        <rFont val="Calibri"/>
        <family val="2"/>
        <scheme val="minor"/>
      </rPr>
      <t xml:space="preserve">: Si se identifican inconsistencias en la revisión del informe, el profesional especializado con funciones de presupuesto y el responsable del proceso que revisó el informe, analizaran el impacto que se  pueda generar y se tomarán  las acciones que correspondan. En caso de detectar una posible afectación de rubros para favorecer intereses particulares, se informa al área disciplinaria competente en el INM, para iniciar las acciones correspondientes.
</t>
    </r>
    <r>
      <rPr>
        <b/>
        <sz val="8"/>
        <color rgb="FF000000"/>
        <rFont val="Calibri"/>
        <family val="2"/>
        <scheme val="minor"/>
      </rPr>
      <t>Documentado</t>
    </r>
    <r>
      <rPr>
        <sz val="8"/>
        <color rgb="FF000000"/>
        <rFont val="Calibri"/>
        <family val="2"/>
        <scheme val="minor"/>
      </rPr>
      <t>: Procedimiento A-01-P-002 Expedición de Certificado de Disponibilidad Presupuestal.  Procedimiento A-01-P-003 Expedición de Registros Presupuestales.</t>
    </r>
  </si>
  <si>
    <t>A07-RC01</t>
  </si>
  <si>
    <t>Posibilidad de recibir o solicitar cualquier dádiva o beneficio a nombre propio o de terceros con el fin de hacer indebido trámite precontractual</t>
  </si>
  <si>
    <t>Se puede presentar cuando al establecer los requisitos o especificaciones legales, técnicas o financieras son manipuladas por parte del personal involucrado en el proceso de contratación como contraprestación, amiguismo, conflicto de interés, presiones comerciales para direccionar a un proveedor específico para celebrar un contrato, con el fin de favorecer intereses particulares o de terceros. 
Acción u omisión: Recepción u omisión de revisión de documentos sin el lleno de los requisitos legales. Establecer requisitos o especificaciones legales técnicas o financieras manipuladas con necesidades inexistentes o incompletas o realizar su direccionamiento a un proveedor específico; Declarar una urgencia manifiesta inexistente.
Desviación del Poder: por parte del profesional de contratación, de la dependencia solicitante o de gestión financiera, jefe de área, comité evaluador, ordenador del gasto.
Desviar la gestión de lo público: Indebida celebración de contratos.
Beneficio privado: favorecimiento de intereses particulares o de terceros.</t>
  </si>
  <si>
    <t>Inicia con la radicación de solicitud de contratación y finaliza con la terminación de la relación contractual.</t>
  </si>
  <si>
    <t>Aspectos legales
Intereses particulares</t>
  </si>
  <si>
    <t>Intereses particulares
Proceso, sus procedimientos y puntos de control</t>
  </si>
  <si>
    <t>Intereses particulares por parte de los colaboradores (contratistas y funcionarios) que participan en la gestión de los procesos contractuales para favorecimiento personal o de un tercero. 
Ausencia de publicación de los procesos precontractuales, contractuales o postcontractuales en Secop.</t>
  </si>
  <si>
    <t>Detrimento patrimonial
Afectación negativa de la imagen institucional</t>
  </si>
  <si>
    <r>
      <rPr>
        <b/>
        <sz val="8"/>
        <color rgb="FF000000"/>
        <rFont val="Calibri"/>
        <family val="2"/>
        <scheme val="minor"/>
      </rPr>
      <t>Control 1</t>
    </r>
    <r>
      <rPr>
        <sz val="8"/>
        <color rgb="FF000000"/>
        <rFont val="Calibri"/>
        <family val="2"/>
        <scheme val="minor"/>
      </rPr>
      <t xml:space="preserve">: Publicar en la plataforma dispuesta por CCE
</t>
    </r>
    <r>
      <rPr>
        <b/>
        <sz val="8"/>
        <color rgb="FF000000"/>
        <rFont val="Calibri"/>
        <family val="2"/>
        <scheme val="minor"/>
      </rPr>
      <t>Propósito</t>
    </r>
    <r>
      <rPr>
        <sz val="8"/>
        <color rgb="FF000000"/>
        <rFont val="Calibri"/>
        <family val="2"/>
        <scheme val="minor"/>
      </rPr>
      <t xml:space="preserve">: Garantizar el cumplimiento del principio de publicidad acorde con los lineamientos normativos y de la entidad.
</t>
    </r>
    <r>
      <rPr>
        <b/>
        <sz val="8"/>
        <color rgb="FF000000"/>
        <rFont val="Calibri"/>
        <family val="2"/>
        <scheme val="minor"/>
      </rPr>
      <t>¿Cómo se realiza el control?</t>
    </r>
    <r>
      <rPr>
        <sz val="8"/>
        <color rgb="FF000000"/>
        <rFont val="Calibri"/>
        <family val="2"/>
        <scheme val="minor"/>
      </rPr>
      <t xml:space="preserve">: Publica en la plataforma dispuesta por CCE del expediente contractual los documentos internos, del proceso, anexos del contrato (Numeral 2 - condiciones), y del contrato , de acuerdo con lo establecido en las guías y manuales de Colombia compra Eficiente, y los lineamientos del INM. 
Los documentos que se publiquen en la plataforma dispuesta por CCE, también reposarán en el archivo digital del INM de acuerdo con las TRD.
Efectúa en la plataforma dispuesta por CCE, la designación de conformidad con el formato de recomendación de supervisor A-07-F-011
Envía correo electrónico al supervisor designado informándole dicha publicación
</t>
    </r>
    <r>
      <rPr>
        <b/>
        <sz val="8"/>
        <color rgb="FF000000"/>
        <rFont val="Calibri"/>
        <family val="2"/>
        <scheme val="minor"/>
      </rPr>
      <t>Responsable</t>
    </r>
    <r>
      <rPr>
        <sz val="8"/>
        <color rgb="FF000000"/>
        <rFont val="Calibri"/>
        <family val="2"/>
        <scheme val="minor"/>
      </rPr>
      <t xml:space="preserve">: Abogado estructurador asignado al proceso
</t>
    </r>
    <r>
      <rPr>
        <b/>
        <sz val="8"/>
        <color rgb="FF000000"/>
        <rFont val="Calibri"/>
        <family val="2"/>
        <scheme val="minor"/>
      </rPr>
      <t>Periodicidad</t>
    </r>
    <r>
      <rPr>
        <sz val="8"/>
        <color rgb="FF000000"/>
        <rFont val="Calibri"/>
        <family val="2"/>
        <scheme val="minor"/>
      </rPr>
      <t xml:space="preserve">: Uno a uno por cada proceso de contratación. 
</t>
    </r>
    <r>
      <rPr>
        <b/>
        <sz val="8"/>
        <color rgb="FF000000"/>
        <rFont val="Calibri"/>
        <family val="2"/>
        <scheme val="minor"/>
      </rPr>
      <t>Evidencia</t>
    </r>
    <r>
      <rPr>
        <sz val="8"/>
        <color rgb="FF000000"/>
        <rFont val="Calibri"/>
        <family val="2"/>
        <scheme val="minor"/>
      </rPr>
      <t xml:space="preserve">: Documentos cargados en la plataforma dispuesta por CCE. 
</t>
    </r>
    <r>
      <rPr>
        <b/>
        <sz val="8"/>
        <color rgb="FF000000"/>
        <rFont val="Calibri"/>
        <family val="2"/>
        <scheme val="minor"/>
      </rPr>
      <t>Desviaciones/Observaciones</t>
    </r>
    <r>
      <rPr>
        <sz val="8"/>
        <color rgb="FF000000"/>
        <rFont val="Calibri"/>
        <family val="2"/>
        <scheme val="minor"/>
      </rPr>
      <t xml:space="preserve">: En caso de presentarse alguna desviación de poder (todas la consideradas por la normatividad legal) el proceso será devuelto.  Poner en conocimiento esta situación al Secretario General.
</t>
    </r>
    <r>
      <rPr>
        <b/>
        <sz val="8"/>
        <color rgb="FF000000"/>
        <rFont val="Calibri"/>
        <family val="2"/>
        <scheme val="minor"/>
      </rPr>
      <t>Documentado</t>
    </r>
    <r>
      <rPr>
        <sz val="8"/>
        <color rgb="FF000000"/>
        <rFont val="Calibri"/>
        <family val="2"/>
        <scheme val="minor"/>
      </rPr>
      <t>: A-07-P-001 Procedimiento precontractual.</t>
    </r>
  </si>
  <si>
    <t>Socializar el procedimiento A-07-P-001 Etapa pre contractual</t>
  </si>
  <si>
    <t>Evidencias de la socialización</t>
  </si>
  <si>
    <t>Profesional especializado grado 18
Secretario General</t>
  </si>
  <si>
    <t xml:space="preserve">Procesos a contratar atendidos dentro de los términos establecidos en el procedimiento para garantizar la ejecución presupuestal, asignada anualmente al INM. </t>
  </si>
  <si>
    <t xml:space="preserve">Intereses particulares por parte de los colaboradores (contratistas y funcionarios) que participan en la gestión de los procesos contractuales para favorecimiento personal o de un tercero. </t>
  </si>
  <si>
    <r>
      <rPr>
        <b/>
        <sz val="8"/>
        <color rgb="FF000000"/>
        <rFont val="Calibri"/>
        <family val="2"/>
        <scheme val="minor"/>
      </rPr>
      <t>Control 2</t>
    </r>
    <r>
      <rPr>
        <sz val="8"/>
        <color rgb="FF000000"/>
        <rFont val="Calibri"/>
        <family val="2"/>
        <scheme val="minor"/>
      </rPr>
      <t xml:space="preserve">: Revisar previamente cada uno de los documentos y publicaciones realizadas en virtud del proceso de contratación.
</t>
    </r>
    <r>
      <rPr>
        <b/>
        <sz val="8"/>
        <color rgb="FF000000"/>
        <rFont val="Calibri"/>
        <family val="2"/>
        <scheme val="minor"/>
      </rPr>
      <t>Propósito</t>
    </r>
    <r>
      <rPr>
        <sz val="8"/>
        <color rgb="FF000000"/>
        <rFont val="Calibri"/>
        <family val="2"/>
        <scheme val="minor"/>
      </rPr>
      <t xml:space="preserve">: Revisar el cumplimiento normativo.
</t>
    </r>
    <r>
      <rPr>
        <b/>
        <sz val="8"/>
        <color rgb="FF000000"/>
        <rFont val="Calibri"/>
        <family val="2"/>
        <scheme val="minor"/>
      </rPr>
      <t>¿Cómo se realiza el control?</t>
    </r>
    <r>
      <rPr>
        <sz val="8"/>
        <color rgb="FF000000"/>
        <rFont val="Calibri"/>
        <family val="2"/>
        <scheme val="minor"/>
      </rPr>
      <t xml:space="preserve">: La revisión y control del proceso pre contractual es realizada por cada uno de los involucrados en el proceso hasta la firma final del ordenador del gasto.
</t>
    </r>
    <r>
      <rPr>
        <b/>
        <sz val="8"/>
        <color rgb="FF000000"/>
        <rFont val="Calibri"/>
        <family val="2"/>
        <scheme val="minor"/>
      </rPr>
      <t>Responsable</t>
    </r>
    <r>
      <rPr>
        <sz val="8"/>
        <color rgb="FF000000"/>
        <rFont val="Calibri"/>
        <family val="2"/>
        <scheme val="minor"/>
      </rPr>
      <t xml:space="preserve">: Jefe del área, Abogado estructurador, Abogado revisor, Secretario General, Ordenador del gasto.
</t>
    </r>
    <r>
      <rPr>
        <b/>
        <sz val="8"/>
        <color rgb="FF000000"/>
        <rFont val="Calibri"/>
        <family val="2"/>
        <scheme val="minor"/>
      </rPr>
      <t>Periodicidad</t>
    </r>
    <r>
      <rPr>
        <sz val="8"/>
        <color rgb="FF000000"/>
        <rFont val="Calibri"/>
        <family val="2"/>
        <scheme val="minor"/>
      </rPr>
      <t xml:space="preserve">: Uno a uno por cada proceso de contratación. 
</t>
    </r>
    <r>
      <rPr>
        <b/>
        <sz val="8"/>
        <color rgb="FF000000"/>
        <rFont val="Calibri"/>
        <family val="2"/>
        <scheme val="minor"/>
      </rPr>
      <t>Evidencia</t>
    </r>
    <r>
      <rPr>
        <sz val="8"/>
        <color rgb="FF000000"/>
        <rFont val="Calibri"/>
        <family val="2"/>
        <scheme val="minor"/>
      </rPr>
      <t xml:space="preserve">: Firmas (físicas y electrónicas) o vistos buenos en los documentos o cadenas de correos electrónicos.
</t>
    </r>
    <r>
      <rPr>
        <b/>
        <sz val="8"/>
        <color rgb="FF000000"/>
        <rFont val="Calibri"/>
        <family val="2"/>
        <scheme val="minor"/>
      </rPr>
      <t>Desviaciones/Observaciones</t>
    </r>
    <r>
      <rPr>
        <sz val="8"/>
        <color rgb="FF000000"/>
        <rFont val="Calibri"/>
        <family val="2"/>
        <scheme val="minor"/>
      </rPr>
      <t xml:space="preserve">: En caso de presentarse alguna desviación de poder (todas la consideradas por la normatividad legal) el proceso será devuelto.  Poner en conocimiento esta situación al Secretario General.
</t>
    </r>
    <r>
      <rPr>
        <b/>
        <sz val="8"/>
        <color rgb="FF000000"/>
        <rFont val="Calibri"/>
        <family val="2"/>
        <scheme val="minor"/>
      </rPr>
      <t>Documentado</t>
    </r>
    <r>
      <rPr>
        <sz val="8"/>
        <color rgb="FF000000"/>
        <rFont val="Calibri"/>
        <family val="2"/>
        <scheme val="minor"/>
      </rPr>
      <t>: A-07-P-001 Procedimiento precontractual.</t>
    </r>
  </si>
  <si>
    <t>Acción u omisión: no informar las irregularidades que se presentan durante la ejecución del contrato. no velar por el correcto cumplimiento de las obligaciones del contrato 
Uso del Poder: Supervisor del contrato, designados como apoyos de la supervisión, ordenador del gasto
Desviar la gestión de lo público: detrimento patrimonial del estado.
Beneficio privado: favorecimiento de intereses particulares y de terceros.</t>
  </si>
  <si>
    <t>Falta de competencia o aptitud   o búsqueda del beneficio propio o a terceros de los profesionales que intervienen</t>
  </si>
  <si>
    <r>
      <rPr>
        <b/>
        <sz val="8"/>
        <color rgb="FF000000"/>
        <rFont val="Calibri"/>
        <family val="2"/>
        <scheme val="minor"/>
      </rPr>
      <t>Control 1:</t>
    </r>
    <r>
      <rPr>
        <sz val="8"/>
        <color rgb="FF000000"/>
        <rFont val="Calibri"/>
        <family val="2"/>
        <scheme val="minor"/>
      </rPr>
      <t xml:space="preserve"> Asignar un supervisor a cada uno de los procesos de contratación para el seguimiento periódico a la ejecución del contrato, frente a la gestión, y los resultados, basado en: la eficiencia, la equidad, la eficacia, la economía y la valoración de los costos del contrato
</t>
    </r>
    <r>
      <rPr>
        <b/>
        <sz val="8"/>
        <color rgb="FF000000"/>
        <rFont val="Calibri"/>
        <family val="2"/>
        <scheme val="minor"/>
      </rPr>
      <t>Propósito</t>
    </r>
    <r>
      <rPr>
        <sz val="8"/>
        <color rgb="FF000000"/>
        <rFont val="Calibri"/>
        <family val="2"/>
        <scheme val="minor"/>
      </rPr>
      <t xml:space="preserve">: Garantizar un adecuada idoneidad del supervisor del contrato que sea imparcial y objetivo. 
</t>
    </r>
    <r>
      <rPr>
        <b/>
        <sz val="8"/>
        <color rgb="FF000000"/>
        <rFont val="Calibri"/>
        <family val="2"/>
        <scheme val="minor"/>
      </rPr>
      <t>¿Cómo se hace el control?</t>
    </r>
    <r>
      <rPr>
        <sz val="8"/>
        <color rgb="FF000000"/>
        <rFont val="Calibri"/>
        <family val="2"/>
        <scheme val="minor"/>
      </rPr>
      <t xml:space="preserve">: El Responsable del área realiza la propuesta del Supervisor mediante el formato de recomendación de Supervisor al ordenador del gasto, éste debe cumplir con la idoneidad requerida. 
</t>
    </r>
    <r>
      <rPr>
        <b/>
        <sz val="8"/>
        <color rgb="FF000000"/>
        <rFont val="Calibri"/>
        <family val="2"/>
        <scheme val="minor"/>
      </rPr>
      <t>Responsable</t>
    </r>
    <r>
      <rPr>
        <sz val="8"/>
        <color rgb="FF000000"/>
        <rFont val="Calibri"/>
        <family val="2"/>
        <scheme val="minor"/>
      </rPr>
      <t xml:space="preserve">: Jefe de la dependencia, abogado estructurador, Ordenador del gasto
</t>
    </r>
    <r>
      <rPr>
        <b/>
        <sz val="8"/>
        <color rgb="FF000000"/>
        <rFont val="Calibri"/>
        <family val="2"/>
        <scheme val="minor"/>
      </rPr>
      <t>Periodicidad:</t>
    </r>
    <r>
      <rPr>
        <sz val="8"/>
        <color rgb="FF000000"/>
        <rFont val="Calibri"/>
        <family val="2"/>
        <scheme val="minor"/>
      </rPr>
      <t xml:space="preserve"> Para cada contrato. 
</t>
    </r>
    <r>
      <rPr>
        <b/>
        <sz val="8"/>
        <color rgb="FF000000"/>
        <rFont val="Calibri"/>
        <family val="2"/>
        <scheme val="minor"/>
      </rPr>
      <t>Evidencia</t>
    </r>
    <r>
      <rPr>
        <sz val="8"/>
        <color rgb="FF000000"/>
        <rFont val="Calibri"/>
        <family val="2"/>
        <scheme val="minor"/>
      </rPr>
      <t xml:space="preserve">: Formato A-07-F-011 Recomendación de Supervisor .
</t>
    </r>
    <r>
      <rPr>
        <b/>
        <sz val="8"/>
        <color rgb="FF000000"/>
        <rFont val="Calibri"/>
        <family val="2"/>
        <scheme val="minor"/>
      </rPr>
      <t>Desviaciones/Observaciones</t>
    </r>
    <r>
      <rPr>
        <sz val="8"/>
        <color rgb="FF000000"/>
        <rFont val="Calibri"/>
        <family val="2"/>
        <scheme val="minor"/>
      </rPr>
      <t xml:space="preserve">: Si se detecta que se ha designado a una persona que no es idónea para ejercer la supervisión, el Jefe del área, deberá solicitar el cambio de supervisor para subsanar esta situación.
</t>
    </r>
    <r>
      <rPr>
        <b/>
        <sz val="8"/>
        <color rgb="FF000000"/>
        <rFont val="Calibri"/>
        <family val="2"/>
        <scheme val="minor"/>
      </rPr>
      <t>Documentado</t>
    </r>
    <r>
      <rPr>
        <sz val="8"/>
        <color rgb="FF000000"/>
        <rFont val="Calibri"/>
        <family val="2"/>
        <scheme val="minor"/>
      </rPr>
      <t>: A-07-I-001 Instructivo de supervisión de contratos y/o convenios,  A-07-P-001 Etapa pre contractual</t>
    </r>
  </si>
  <si>
    <t xml:space="preserve">Procesos a contratar atendidos dentro de los términos establecidos en el procedimiento para garantizar la ejecución presupuestal, asignada anualmente al INM.
Se relaciona con este indicador dado que dentro de la suscripción del contrato se lleva a cabo la recomendación y asignación del supervisor. </t>
  </si>
  <si>
    <r>
      <rPr>
        <b/>
        <sz val="8"/>
        <color rgb="FF000000"/>
        <rFont val="Calibri"/>
        <family val="2"/>
        <scheme val="minor"/>
      </rPr>
      <t>Control 2</t>
    </r>
    <r>
      <rPr>
        <sz val="8"/>
        <color rgb="FF000000"/>
        <rFont val="Calibri"/>
        <family val="2"/>
        <scheme val="minor"/>
      </rPr>
      <t xml:space="preserve">: Vigilar la correcta ejecución de los contratos suscritos, ya sea en calidad de contratante o contratista, acorde con lo establecido en la normatividad legal vigente, el Manual A-07-M-001 Gestión contractual, instructivo A-07-I-001 Supervisión de contratos y/o convenios y el procedimiento A-07-P-002 ETAPA CONTRACTUAL
</t>
    </r>
    <r>
      <rPr>
        <b/>
        <sz val="8"/>
        <color rgb="FF000000"/>
        <rFont val="Calibri"/>
        <family val="2"/>
        <scheme val="minor"/>
      </rPr>
      <t xml:space="preserve">Propósito: </t>
    </r>
    <r>
      <rPr>
        <sz val="8"/>
        <color rgb="FF000000"/>
        <rFont val="Calibri"/>
        <family val="2"/>
        <scheme val="minor"/>
      </rPr>
      <t xml:space="preserve">Asegurar la eficiente y oportuna administración e inversión de los recursos que fueron asignados a determinado contrato, salvaguardando los recursos que puedan verse afectados por la ejecución de los mismos. 
</t>
    </r>
    <r>
      <rPr>
        <b/>
        <sz val="8"/>
        <color rgb="FF000000"/>
        <rFont val="Calibri"/>
        <family val="2"/>
        <scheme val="minor"/>
      </rPr>
      <t>Responsable</t>
    </r>
    <r>
      <rPr>
        <sz val="8"/>
        <color rgb="FF000000"/>
        <rFont val="Calibri"/>
        <family val="2"/>
        <scheme val="minor"/>
      </rPr>
      <t xml:space="preserve">: Supervisor asignado a cada uno de los contratos.  
</t>
    </r>
    <r>
      <rPr>
        <b/>
        <sz val="8"/>
        <color rgb="FF000000"/>
        <rFont val="Calibri"/>
        <family val="2"/>
        <scheme val="minor"/>
      </rPr>
      <t>Periodicidad:</t>
    </r>
    <r>
      <rPr>
        <sz val="8"/>
        <color rgb="FF000000"/>
        <rFont val="Calibri"/>
        <family val="2"/>
        <scheme val="minor"/>
      </rPr>
      <t xml:space="preserve"> Cada vez que se suscribe y ejecuta un contrato.
</t>
    </r>
    <r>
      <rPr>
        <b/>
        <sz val="8"/>
        <color rgb="FF000000"/>
        <rFont val="Calibri"/>
        <family val="2"/>
        <scheme val="minor"/>
      </rPr>
      <t>¿Cómo se hace el control?:</t>
    </r>
    <r>
      <rPr>
        <sz val="8"/>
        <color rgb="FF000000"/>
        <rFont val="Calibri"/>
        <family val="2"/>
        <scheme val="minor"/>
      </rPr>
      <t xml:space="preserve"> El supervisor designado verifica el cumplimiento de cada una de las obligaciones establecidas en el contrato, para lo cual, valida los informes de ejecución de actividades o informes de cumplimiento entregados por parte del proveedor o contratista y elabora el A-07-F-038 Informe de supervisión donde se manifiesta el cumplimiento a satisfacción de las obligaciones, la calidad de los informes presentados por el proveedor o contratista, el seguimiento frente a los riesgos que se establecieron para cada proceso de contratación, entre otros requisitos que permiten vigilar la ejecución del contrato e identificar su cumplimiento.  
</t>
    </r>
    <r>
      <rPr>
        <b/>
        <sz val="8"/>
        <color rgb="FF000000"/>
        <rFont val="Calibri"/>
        <family val="2"/>
        <scheme val="minor"/>
      </rPr>
      <t xml:space="preserve">Observaciones o desviaciones: </t>
    </r>
    <r>
      <rPr>
        <sz val="8"/>
        <color rgb="FF000000"/>
        <rFont val="Calibri"/>
        <family val="2"/>
        <scheme val="minor"/>
      </rPr>
      <t xml:space="preserve">En caso de identificar el incumplimiento de las obligaciones establecidas o la incorrecta ejecución del contrato, el supervisor informa al grupo interno de trabajo de gestión jurídica contractual y de investigaciones de carácter disciplinario para que se realicen las respectivas actuaciones frente al incumplimiento
</t>
    </r>
    <r>
      <rPr>
        <b/>
        <sz val="8"/>
        <color rgb="FF000000"/>
        <rFont val="Calibri"/>
        <family val="2"/>
        <scheme val="minor"/>
      </rPr>
      <t>Evidencias</t>
    </r>
    <r>
      <rPr>
        <sz val="8"/>
        <color rgb="FF000000"/>
        <rFont val="Calibri"/>
        <family val="2"/>
        <scheme val="minor"/>
      </rPr>
      <t xml:space="preserve">: Correos electrónicos, informes de cumplimiento o de ejecución de actividades entregados por los proveedores o contratistas,  A-07-F-038 Informe de supervisión. 
</t>
    </r>
    <r>
      <rPr>
        <b/>
        <sz val="8"/>
        <color rgb="FF000000"/>
        <rFont val="Calibri"/>
        <family val="2"/>
        <scheme val="minor"/>
      </rPr>
      <t>Documentado:</t>
    </r>
    <r>
      <rPr>
        <sz val="8"/>
        <color rgb="FF000000"/>
        <rFont val="Calibri"/>
        <family val="2"/>
        <scheme val="minor"/>
      </rPr>
      <t xml:space="preserve"> Manual A-07-M-001 Gestión contractual, Instructivo A-07-I-001 Supervisión de contratos y/o convenios</t>
    </r>
  </si>
  <si>
    <t>Socializar: 
Procedimiento A-07-P-002 ETAPA CONTRACTUAL
Instructivo A-07-I-001 Supervisión de contratos y/o convenios</t>
  </si>
  <si>
    <t>Se puede presentar cuando se beneficia a clientes, funcionarios y contratistas por amiguismo o clientelismo por aceptar promesas o pagos, para generar constancias de asistencia con información que no corresponde con lo cotizado o inexistente, para favorecer intereses propios o particulares desviando la gestión de lo público en beneficio de lo privado.
Acción u omisión: " se puede presentar cuando se beneficia a clientes, funcionarios y contratistas por amiguismo o clientelismo"
Uso del Poder: "aceptar promesas o pagos, para generar constancias de asistencia con información errónea para beneficio particular".
Desviar la gestión de lo público: "desviando la gestión de lo público en beneficio de lo privado.".
Beneficio privado: "Favorecer intereses particulares".</t>
  </si>
  <si>
    <t>Inicia con el establecimiento de los procedimientos y demás documentos del proceso y culmina con la evaluación de la satisfacción de las capacitaciones y la toma de acciones de mejoramiento por parte de los responsables del proceso.</t>
  </si>
  <si>
    <t>Registros de la comercialización del servicio de capacitación</t>
  </si>
  <si>
    <t>Intereses particulares (dádivas, amiguismo, clientelismo)</t>
  </si>
  <si>
    <t xml:space="preserve">Presiones indebidas de los funcionarios del INM de Colombia. </t>
  </si>
  <si>
    <t>Soborno</t>
  </si>
  <si>
    <t>Falta de integridad y ética por parte del equipo de trabajo. 
Incumplimiento al código de ética por parte del funcionario. 
Omisión en el cumplimiento del procedimiento de capacitaciones</t>
  </si>
  <si>
    <t>Pérdida de imagen institucional
Apertura de procesos de disciplinarios, penales y fiscales.
Detrimento patrimonial</t>
  </si>
  <si>
    <r>
      <rPr>
        <b/>
        <sz val="8"/>
        <color rgb="FF000000"/>
        <rFont val="Calibri"/>
        <scheme val="minor"/>
      </rPr>
      <t>Control 1</t>
    </r>
    <r>
      <rPr>
        <sz val="8"/>
        <color rgb="FF000000"/>
        <rFont val="Calibri"/>
        <scheme val="minor"/>
      </rPr>
      <t xml:space="preserve">: Administrar listado de asistencia
</t>
    </r>
    <r>
      <rPr>
        <b/>
        <sz val="8"/>
        <color rgb="FF000000"/>
        <rFont val="Calibri"/>
        <scheme val="minor"/>
      </rPr>
      <t>Propósito</t>
    </r>
    <r>
      <rPr>
        <sz val="8"/>
        <color rgb="FF000000"/>
        <rFont val="Calibri"/>
        <scheme val="minor"/>
      </rPr>
      <t xml:space="preserve">: Garantizar que la información entregada por los participantes corresponda con el reporte de inscripción. 
</t>
    </r>
    <r>
      <rPr>
        <b/>
        <sz val="8"/>
        <color rgb="FF000000"/>
        <rFont val="Calibri"/>
        <scheme val="minor"/>
      </rPr>
      <t xml:space="preserve">Responsable: </t>
    </r>
    <r>
      <rPr>
        <sz val="8"/>
        <color rgb="FF000000"/>
        <rFont val="Calibri"/>
        <scheme val="minor"/>
      </rPr>
      <t xml:space="preserve">Profesional del GSM 
</t>
    </r>
    <r>
      <rPr>
        <b/>
        <sz val="8"/>
        <color rgb="FF000000"/>
        <rFont val="Calibri"/>
        <scheme val="minor"/>
      </rPr>
      <t>¿Cómo se hace el control?</t>
    </r>
    <r>
      <rPr>
        <sz val="8"/>
        <color rgb="FF000000"/>
        <rFont val="Calibri"/>
        <scheme val="minor"/>
      </rPr>
      <t xml:space="preserve">: Cada vez que se da inicio a una capacitación, el profesional responsable del GSM brinda las instrucciones de que los participantes validen que sus datos registrados en el listado de asistencia, se encuentren correctamente diligenciados. En caso que la información presenta alguna diferencia o inconsistencia, el asistente debe hacer el ajuste manualmente sobre el registro.
</t>
    </r>
    <r>
      <rPr>
        <b/>
        <sz val="8"/>
        <color rgb="FF000000"/>
        <rFont val="Calibri"/>
        <scheme val="minor"/>
      </rPr>
      <t>Periodicidad</t>
    </r>
    <r>
      <rPr>
        <sz val="8"/>
        <color rgb="FF000000"/>
        <rFont val="Calibri"/>
        <scheme val="minor"/>
      </rPr>
      <t xml:space="preserve">: Cada vez que realiza una capacitación. 
</t>
    </r>
    <r>
      <rPr>
        <b/>
        <sz val="8"/>
        <color rgb="FF000000"/>
        <rFont val="Calibri"/>
        <scheme val="minor"/>
      </rPr>
      <t>Evidencia:</t>
    </r>
    <r>
      <rPr>
        <sz val="8"/>
        <color rgb="FF000000"/>
        <rFont val="Calibri"/>
        <scheme val="minor"/>
      </rPr>
      <t xml:space="preserve"> Listado de asistencia firmado por los participantes - Constancia de asistencia con la información actualizada de acuerdo a lo suministrado por el participante. 
</t>
    </r>
    <r>
      <rPr>
        <b/>
        <sz val="8"/>
        <color rgb="FF000000"/>
        <rFont val="Calibri"/>
        <scheme val="minor"/>
      </rPr>
      <t>Desviaciones/Observaciones</t>
    </r>
    <r>
      <rPr>
        <sz val="8"/>
        <color rgb="FF000000"/>
        <rFont val="Calibri"/>
        <scheme val="minor"/>
      </rPr>
      <t xml:space="preserve">: En caso que el participante haya identificado y registrado diferencias o inconsistencias en la información del listado de asistencia, el profesional designado realiza los ajustes correspondientes en el aplicativo dispuesto para tal fin. 
</t>
    </r>
    <r>
      <rPr>
        <b/>
        <sz val="8"/>
        <color rgb="FF000000"/>
        <rFont val="Calibri"/>
        <scheme val="minor"/>
      </rPr>
      <t>Documentado</t>
    </r>
    <r>
      <rPr>
        <sz val="8"/>
        <color rgb="FF000000"/>
        <rFont val="Calibri"/>
        <scheme val="minor"/>
      </rPr>
      <t>: M-02-P-001 CAPACITACIONES EN METROLOGÍA</t>
    </r>
  </si>
  <si>
    <t xml:space="preserve">Actualizar las actividades # 2 del numeral 7.1.2. del procedimiento M-02-P-001 CAPACITACIONES EN METROLOGÍA </t>
  </si>
  <si>
    <t>Procedimiento actualizado y aprobado en Isolución</t>
  </si>
  <si>
    <t>Coordinador del GGSM</t>
  </si>
  <si>
    <t>Nivel de satisfacción de los usuarios del servicio de capacitación en metrología</t>
  </si>
  <si>
    <r>
      <rPr>
        <b/>
        <sz val="8"/>
        <color rgb="FF000000"/>
        <rFont val="Calibri"/>
        <scheme val="minor"/>
      </rPr>
      <t>Control 2</t>
    </r>
    <r>
      <rPr>
        <sz val="8"/>
        <color rgb="FF000000"/>
        <rFont val="Calibri"/>
        <scheme val="minor"/>
      </rPr>
      <t xml:space="preserve">: Verificar que la información de cada uno de los participantes se encuentre actualizada en el aplicativo con relación a los listados de asistencia, previo a la generación de las constancias de asistencia.
</t>
    </r>
    <r>
      <rPr>
        <b/>
        <sz val="8"/>
        <color rgb="FF000000"/>
        <rFont val="Calibri"/>
        <scheme val="minor"/>
      </rPr>
      <t>Propósito</t>
    </r>
    <r>
      <rPr>
        <sz val="8"/>
        <color rgb="FF000000"/>
        <rFont val="Calibri"/>
        <scheme val="minor"/>
      </rPr>
      <t xml:space="preserve">: Garantizar que la información de la constancia de asistencia se encuentre correcta y actualizada frente a la información registrada por cada participante. 
</t>
    </r>
    <r>
      <rPr>
        <b/>
        <sz val="8"/>
        <color rgb="FF000000"/>
        <rFont val="Calibri"/>
        <scheme val="minor"/>
      </rPr>
      <t>Responsable:</t>
    </r>
    <r>
      <rPr>
        <sz val="8"/>
        <color rgb="FF000000"/>
        <rFont val="Calibri"/>
        <scheme val="minor"/>
      </rPr>
      <t xml:space="preserve"> Coordinador del GSM
</t>
    </r>
    <r>
      <rPr>
        <b/>
        <sz val="8"/>
        <color rgb="FF000000"/>
        <rFont val="Calibri"/>
        <scheme val="minor"/>
      </rPr>
      <t>¿Cómo se hace el control?</t>
    </r>
    <r>
      <rPr>
        <sz val="8"/>
        <color rgb="FF000000"/>
        <rFont val="Calibri"/>
        <scheme val="minor"/>
      </rPr>
      <t xml:space="preserve">: Cada vez que finaliza una capacitación,  el coordinador del GGSM verifica que la información de cada uno de los participantes en el aplicativo, se encuentre correcta y conforme a lo registrado en los listados de asistencia.
</t>
    </r>
    <r>
      <rPr>
        <b/>
        <sz val="8"/>
        <color rgb="FF000000"/>
        <rFont val="Calibri"/>
        <scheme val="minor"/>
      </rPr>
      <t>Periodicidad</t>
    </r>
    <r>
      <rPr>
        <sz val="8"/>
        <color rgb="FF000000"/>
        <rFont val="Calibri"/>
        <scheme val="minor"/>
      </rPr>
      <t xml:space="preserve">: Cada vez que realiza una capacitación. 
</t>
    </r>
    <r>
      <rPr>
        <b/>
        <sz val="8"/>
        <color rgb="FF000000"/>
        <rFont val="Calibri"/>
        <scheme val="minor"/>
      </rPr>
      <t>Evidencia</t>
    </r>
    <r>
      <rPr>
        <sz val="8"/>
        <color rgb="FF000000"/>
        <rFont val="Calibri"/>
        <scheme val="minor"/>
      </rPr>
      <t xml:space="preserve">: Listado de asistencia firmado por los participantes - Constancia de asistencia con la información actualizada de acuerdo a lo suministrado por el participante. 
</t>
    </r>
    <r>
      <rPr>
        <b/>
        <sz val="8"/>
        <color rgb="FF000000"/>
        <rFont val="Calibri"/>
        <scheme val="minor"/>
      </rPr>
      <t>Desviaciones/Observaciones</t>
    </r>
    <r>
      <rPr>
        <sz val="8"/>
        <color rgb="FF000000"/>
        <rFont val="Calibri"/>
        <scheme val="minor"/>
      </rPr>
      <t xml:space="preserve">: En caso que el participante haya asistido parcialmente a la capacitación, se verifica el porcentaje de asistencia y según el resultado se decide si se emite constancia de asistencia o certificado de horas de participación. En caso que la información registrada en el aplicativo no se encuentre actualizada, el coordinador del GGSM informa al profesional responsable para que realice los ajustes a que haya lugar en el aplicativo. 
</t>
    </r>
    <r>
      <rPr>
        <b/>
        <sz val="8"/>
        <color rgb="FF000000"/>
        <rFont val="Calibri"/>
        <scheme val="minor"/>
      </rPr>
      <t>Documentado</t>
    </r>
    <r>
      <rPr>
        <sz val="8"/>
        <color rgb="FF000000"/>
        <rFont val="Calibri"/>
        <scheme val="minor"/>
      </rPr>
      <t>: M-02-P-001 CAPACITACIONES EN METROLOGÍA</t>
    </r>
  </si>
  <si>
    <t>Detectar</t>
  </si>
  <si>
    <t xml:space="preserve">Actualizar las actividades # 5 del numeral 7.1.2. del procedimiento M-02-P-001 CAPACITACIONES EN METROLOGÍA </t>
  </si>
  <si>
    <t xml:space="preserve">Se presenta cuando hay una excesiva demanda de los servicios metrológicos y hay demoras en el tiempo de atención de las solicitudes, puede presentarse la posibilidad de priorizar a clientes sobre las solicitudes o programaciones por encima de las ya establecidas.  Es decir, realizar una atención prioritaria para favorecer a un cliente por intereses propios o particulares por algún tipo de contraprestación, amiguismo, clientelismo, desviando la gestión de lo público en beneficio de lo privado.
Acción u omisión: Priorizar a clientes sobre las solicitudes o programaciones por encima de las ya establecidas
Uso del Poder: "Se prioricen ciertas solicitudes por parte del personal involucrado".
Desviar la gestión de lo público: desviando la gestión de lo público en beneficio de lo privado.
Beneficio privado:  en beneficio de lo privado.
</t>
  </si>
  <si>
    <t>Inicia con la verificación del cumplimiento de requerimientos de diseño y desarrollo y finaliza con la recepción y entrega del producto o servicio al cliente y la gestión de acciones de mejoramiento originadas de las diferentes fuentes identificadas.</t>
  </si>
  <si>
    <t>Intereses particulares
 Intereses gubernamentales</t>
  </si>
  <si>
    <t>Procesos, posible falta de  procedimientos y puntos de control
 Herramientas informáticas
 Intereses particulares</t>
  </si>
  <si>
    <t>Posibilidad de manipulación de las fechas y priorización en la programación de los servicios por debilidad en los controles establecidos</t>
  </si>
  <si>
    <t>Detrimento patrimonial
 Afectación negativa de la imagen institucional</t>
  </si>
  <si>
    <r>
      <rPr>
        <b/>
        <sz val="8"/>
        <color rgb="FF000000"/>
        <rFont val="Calibri"/>
        <family val="2"/>
        <scheme val="minor"/>
      </rPr>
      <t xml:space="preserve">Control 1: </t>
    </r>
    <r>
      <rPr>
        <sz val="8"/>
        <color rgb="FF000000"/>
        <rFont val="Calibri"/>
        <family val="2"/>
        <scheme val="minor"/>
      </rPr>
      <t xml:space="preserve">Según la oportunidad de pago del cliente, legalizado por el proceso de Gestión Financiera, se genera la programación del servicio en el aplicativo que asigna automáticamente al laboratorio para que realice la programación definitiva.
</t>
    </r>
    <r>
      <rPr>
        <b/>
        <sz val="8"/>
        <color rgb="FF000000"/>
        <rFont val="Calibri"/>
        <family val="2"/>
        <scheme val="minor"/>
      </rPr>
      <t>Propósito</t>
    </r>
    <r>
      <rPr>
        <sz val="8"/>
        <color rgb="FF000000"/>
        <rFont val="Calibri"/>
        <family val="2"/>
        <scheme val="minor"/>
      </rPr>
      <t xml:space="preserve">: Establecer un orden de atención que corresponda con la oportunidad del pago del servicio.
</t>
    </r>
    <r>
      <rPr>
        <b/>
        <sz val="8"/>
        <color rgb="FF000000"/>
        <rFont val="Calibri"/>
        <family val="2"/>
        <scheme val="minor"/>
      </rPr>
      <t>¿Cómo se hace?</t>
    </r>
    <r>
      <rPr>
        <sz val="8"/>
        <color rgb="FF000000"/>
        <rFont val="Calibri"/>
        <family val="2"/>
        <scheme val="minor"/>
      </rPr>
      <t xml:space="preserve"> Cada vez que se legalice el pago de un servicio, el aplicativo asigna automáticamente al laboratorio para que realice la programación definitiva. 
</t>
    </r>
    <r>
      <rPr>
        <b/>
        <sz val="8"/>
        <color rgb="FF000000"/>
        <rFont val="Calibri"/>
        <family val="2"/>
        <scheme val="minor"/>
      </rPr>
      <t>Responsable</t>
    </r>
    <r>
      <rPr>
        <sz val="8"/>
        <color rgb="FF000000"/>
        <rFont val="Calibri"/>
        <family val="2"/>
        <scheme val="minor"/>
      </rPr>
      <t xml:space="preserve">: Coordinador de Gestión de Servicios Metrológicos.
</t>
    </r>
    <r>
      <rPr>
        <b/>
        <sz val="8"/>
        <color rgb="FF000000"/>
        <rFont val="Calibri"/>
        <family val="2"/>
        <scheme val="minor"/>
      </rPr>
      <t>Periodicidad</t>
    </r>
    <r>
      <rPr>
        <sz val="8"/>
        <color rgb="FF000000"/>
        <rFont val="Calibri"/>
        <family val="2"/>
        <scheme val="minor"/>
      </rPr>
      <t xml:space="preserve">: Por cada solicitud de servicio.
</t>
    </r>
    <r>
      <rPr>
        <b/>
        <sz val="8"/>
        <color rgb="FF000000"/>
        <rFont val="Calibri"/>
        <family val="2"/>
        <scheme val="minor"/>
      </rPr>
      <t>Evidencia</t>
    </r>
    <r>
      <rPr>
        <sz val="8"/>
        <color rgb="FF000000"/>
        <rFont val="Calibri"/>
        <family val="2"/>
        <scheme val="minor"/>
      </rPr>
      <t xml:space="preserve">: Registro de la programación generado del aplicativo SASM.
</t>
    </r>
    <r>
      <rPr>
        <b/>
        <sz val="8"/>
        <color rgb="FF000000"/>
        <rFont val="Calibri"/>
        <family val="2"/>
        <scheme val="minor"/>
      </rPr>
      <t>Desviaciones/Observaciones</t>
    </r>
    <r>
      <rPr>
        <sz val="8"/>
        <color rgb="FF000000"/>
        <rFont val="Calibri"/>
        <family val="2"/>
        <scheme val="minor"/>
      </rPr>
      <t xml:space="preserve">: La programación establecida queda sujeta a disponibilidad operativa de los laboratorios, tales como, disponibilidad de equipos o personal. De presentarse alguna eventualidad, se coordina entre los laboratorios y el grupo de Gestión de Servicios Metrológicos para reprogramar e informar a los clientes según sea el caso.
</t>
    </r>
    <r>
      <rPr>
        <b/>
        <sz val="8"/>
        <color rgb="FF000000"/>
        <rFont val="Calibri"/>
        <family val="2"/>
        <scheme val="minor"/>
      </rPr>
      <t>Documentado</t>
    </r>
    <r>
      <rPr>
        <sz val="8"/>
        <color rgb="FF000000"/>
        <rFont val="Calibri"/>
        <family val="2"/>
        <scheme val="minor"/>
      </rPr>
      <t>: Procedimiento A-08-P-001 Revisión de solicitudes, ofertas y contratos y A-08-P-004 Reprogramación, Suspensión, Cancelación o Reactivación de Productos o Servicios (desviaciones/observaciones).</t>
    </r>
  </si>
  <si>
    <t xml:space="preserve">Documentar en el procedimiento A-08-P-001 REVISIÓN DE SOLICITUDES, OFERTAS Y CONTRATOS, el lineamiento relacionado con que por parte de los laboratorios dejen en el registro de programación, las notas asociadas a solicitudes particulares de los clientes, respecto a la fecha de la prestación de servicios y socializar a los involucrados. 
 </t>
  </si>
  <si>
    <t xml:space="preserve">A-08-P-001 aprobado en Isolución 
Evidencia de la socialización del procedimiento. </t>
  </si>
  <si>
    <t>Subdirector de la SMF y SMQB. 
Coordinador del GGSM (actualización en Isolución y socialización)</t>
  </si>
  <si>
    <t>Nivel de satisfacción de los usuarios del servicio de calibración y medición de MR</t>
  </si>
  <si>
    <r>
      <rPr>
        <b/>
        <sz val="8"/>
        <rFont val="Calibri"/>
        <family val="2"/>
        <scheme val="minor"/>
      </rPr>
      <t>Control 2:</t>
    </r>
    <r>
      <rPr>
        <sz val="8"/>
        <rFont val="Calibri"/>
        <family val="2"/>
        <scheme val="minor"/>
      </rPr>
      <t xml:space="preserve"> Programar el servicio de calibración, teniendo en cuenta la disponibilidad de recursos y la solicitud del cliente, cuando esta última sea posible. 
</t>
    </r>
    <r>
      <rPr>
        <b/>
        <sz val="8"/>
        <rFont val="Calibri"/>
        <family val="2"/>
        <scheme val="minor"/>
      </rPr>
      <t>Propósito</t>
    </r>
    <r>
      <rPr>
        <sz val="8"/>
        <rFont val="Calibri"/>
        <family val="2"/>
        <scheme val="minor"/>
      </rPr>
      <t xml:space="preserve">: Establecer un orden de atención que corresponda con la oportunidad del pago del servicio.
</t>
    </r>
    <r>
      <rPr>
        <b/>
        <sz val="8"/>
        <rFont val="Calibri"/>
        <family val="2"/>
        <scheme val="minor"/>
      </rPr>
      <t>¿Cómo se hace el control?</t>
    </r>
    <r>
      <rPr>
        <sz val="8"/>
        <rFont val="Calibri"/>
        <family val="2"/>
        <scheme val="minor"/>
      </rPr>
      <t xml:space="preserve"> Tomando como base la notificación de SASM, el personal del laboratorio programa el servicio teniendo en cuenta la disponibilidad de recursos y la solicitud del cliente, cuando esta última sea posible.
</t>
    </r>
    <r>
      <rPr>
        <b/>
        <sz val="8"/>
        <rFont val="Calibri"/>
        <family val="2"/>
        <scheme val="minor"/>
      </rPr>
      <t>Responsable</t>
    </r>
    <r>
      <rPr>
        <sz val="8"/>
        <rFont val="Calibri"/>
        <family val="2"/>
        <scheme val="minor"/>
      </rPr>
      <t xml:space="preserve">: Personal de los laboratorios.
</t>
    </r>
    <r>
      <rPr>
        <b/>
        <sz val="8"/>
        <rFont val="Calibri"/>
        <family val="2"/>
        <scheme val="minor"/>
      </rPr>
      <t>Periodicidad:</t>
    </r>
    <r>
      <rPr>
        <sz val="8"/>
        <rFont val="Calibri"/>
        <family val="2"/>
        <scheme val="minor"/>
      </rPr>
      <t xml:space="preserve"> Por cada solicitud de servicio.
</t>
    </r>
    <r>
      <rPr>
        <b/>
        <sz val="8"/>
        <rFont val="Calibri"/>
        <family val="2"/>
        <scheme val="minor"/>
      </rPr>
      <t>Evidencia</t>
    </r>
    <r>
      <rPr>
        <sz val="8"/>
        <rFont val="Calibri"/>
        <family val="2"/>
        <scheme val="minor"/>
      </rPr>
      <t xml:space="preserve">: Registro de la programación generado en el aplicativo SASM.
</t>
    </r>
    <r>
      <rPr>
        <b/>
        <sz val="8"/>
        <rFont val="Calibri"/>
        <family val="2"/>
        <scheme val="minor"/>
      </rPr>
      <t>Desviaciones/Observaciones</t>
    </r>
    <r>
      <rPr>
        <sz val="8"/>
        <rFont val="Calibri"/>
        <family val="2"/>
        <scheme val="minor"/>
      </rPr>
      <t xml:space="preserve">: La programación establecida queda sujeta a disponibilidad operativa de los laboratorios, tales como, disponibilidad de equipos o personal. De presentarse alguna eventualidad, se coordina entre los laboratorios y el grupo de Gestión de Servicios Metrológicos para reprogramar e informar a los clientes según sea el caso.
</t>
    </r>
    <r>
      <rPr>
        <b/>
        <sz val="8"/>
        <rFont val="Calibri"/>
        <family val="2"/>
        <scheme val="minor"/>
      </rPr>
      <t>Documentado</t>
    </r>
    <r>
      <rPr>
        <sz val="8"/>
        <rFont val="Calibri"/>
        <family val="2"/>
        <scheme val="minor"/>
      </rPr>
      <t>: Procedimiento A-08-P-001 Revisión de solicitudes, ofertas y contratos A-08-P-004 Reprogramación, Suspensión, Cancelación o Reactivación de Productos o Servicios (desviaciones/observaciones).</t>
    </r>
  </si>
  <si>
    <t>Se puede presentar cuando se beneficia a clientes por amiguismo o clientelismo por aceptar pagos que no correspondan con los ítems y condiciones pactadas de las cotizaciones y/o datos contenidos en los certificados e informes emitidos por la prestación del servicio metrológico, para favorecer intereses propios o particulares desviando la gestión de lo público en beneficio de lo privado.
Acción u omisión: " se puede presentar cuando se beneficia a clientes por amiguismo o clientelismo"
Uso del Poder: "Aceptar pagos que no correspondan con los ítems y condiciones de las cotizaciones y/o datos contenidos en los certificados e informes emitidos".
Desviar la gestión de lo público: "desviando la gestión de lo público en beneficio de lo privado.".
Beneficio privado: "Favorecer intereses particulares".</t>
  </si>
  <si>
    <t>Procesos, sus procedimientos y puntos de control
 Herramientas informáticas
 Intereses particulares</t>
  </si>
  <si>
    <t>Posibilidad de manipulación en la transcripción de la solicitud en el Aplicativo</t>
  </si>
  <si>
    <t>Detrimento patrimonial
 Afectación negativa de la imagen institucional</t>
  </si>
  <si>
    <r>
      <rPr>
        <b/>
        <sz val="8"/>
        <rFont val="Calibri"/>
        <family val="2"/>
        <scheme val="minor"/>
      </rPr>
      <t xml:space="preserve">Control 1: </t>
    </r>
    <r>
      <rPr>
        <sz val="8"/>
        <rFont val="Calibri"/>
        <family val="2"/>
        <scheme val="minor"/>
      </rPr>
      <t xml:space="preserve">Verificar si se presentan modificaciones a la oferta, cotización o contrato
</t>
    </r>
    <r>
      <rPr>
        <b/>
        <sz val="8"/>
        <rFont val="Calibri"/>
        <family val="2"/>
        <scheme val="minor"/>
      </rPr>
      <t>Propósito</t>
    </r>
    <r>
      <rPr>
        <sz val="8"/>
        <rFont val="Calibri"/>
        <family val="2"/>
        <scheme val="minor"/>
      </rPr>
      <t xml:space="preserve">: Asegurar el recaudo de todos los servicios cotizados en calibración y evitar demoras en la programación y prestación de servicios de calibración
</t>
    </r>
    <r>
      <rPr>
        <b/>
        <sz val="8"/>
        <rFont val="Calibri"/>
        <family val="2"/>
        <scheme val="minor"/>
      </rPr>
      <t>Responsable</t>
    </r>
    <r>
      <rPr>
        <sz val="8"/>
        <rFont val="Calibri"/>
        <family val="2"/>
        <scheme val="minor"/>
      </rPr>
      <t xml:space="preserve">: Coordinador del GGSM o colaborador designado
</t>
    </r>
    <r>
      <rPr>
        <b/>
        <sz val="8"/>
        <rFont val="Calibri"/>
        <family val="2"/>
        <scheme val="minor"/>
      </rPr>
      <t xml:space="preserve">¿Cómo se realiza el control?: </t>
    </r>
    <r>
      <rPr>
        <sz val="8"/>
        <rFont val="Calibri"/>
        <family val="2"/>
        <scheme val="minor"/>
      </rPr>
      <t xml:space="preserve">Durante la prestación del servicio, hace seguimiento al cumplimiento de las obligaciones pactadas en la oferta, cotización o contrato
</t>
    </r>
    <r>
      <rPr>
        <b/>
        <sz val="8"/>
        <rFont val="Calibri"/>
        <family val="2"/>
        <scheme val="minor"/>
      </rPr>
      <t>Periodicidad:</t>
    </r>
    <r>
      <rPr>
        <sz val="8"/>
        <rFont val="Calibri"/>
        <family val="2"/>
        <scheme val="minor"/>
      </rPr>
      <t xml:space="preserve"> Por cada solicitud de servicio
</t>
    </r>
    <r>
      <rPr>
        <b/>
        <sz val="8"/>
        <rFont val="Calibri"/>
        <family val="2"/>
        <scheme val="minor"/>
      </rPr>
      <t>Evidencia</t>
    </r>
    <r>
      <rPr>
        <sz val="8"/>
        <rFont val="Calibri"/>
        <family val="2"/>
        <scheme val="minor"/>
      </rPr>
      <t xml:space="preserve">: Registros (Cotización) de Aplicativo 
</t>
    </r>
    <r>
      <rPr>
        <b/>
        <sz val="8"/>
        <rFont val="Calibri"/>
        <family val="2"/>
        <scheme val="minor"/>
      </rPr>
      <t>Desviaciones/Observaciones</t>
    </r>
    <r>
      <rPr>
        <sz val="8"/>
        <rFont val="Calibri"/>
        <family val="2"/>
        <scheme val="minor"/>
      </rPr>
      <t xml:space="preserve">: Si se presenta un error en el registro de la cotización que no contemple todos los ítems requeridos en la solicitud del servicio y que el laboratorio no lo evidencie,  y se reciba el pago que no corresponde, se procede a generar una nueva cotización y desplegar las acciones de recaudo del recurso faltante.
</t>
    </r>
    <r>
      <rPr>
        <b/>
        <sz val="8"/>
        <rFont val="Calibri"/>
        <family val="2"/>
        <scheme val="minor"/>
      </rPr>
      <t>Documentado</t>
    </r>
    <r>
      <rPr>
        <sz val="8"/>
        <rFont val="Calibri"/>
        <family val="2"/>
        <scheme val="minor"/>
      </rPr>
      <t>: Procedimiento A-08-P-001 Revisión de solicitudes, ofertas y contratos</t>
    </r>
  </si>
  <si>
    <t>Validar desde el Proceso de Gestión Servicios Metrológicos, que se realicen las pruebas y validaciones necesarias que permitan una automatización de la metodología de gestión de recaudos y conciliación de los recursos recibidos con el área financiera</t>
  </si>
  <si>
    <t>Correos electrónicos de seguimiento a las actividades de implementación de la nueva metodología de gestión de recaudos</t>
  </si>
  <si>
    <t xml:space="preserve">Coordinador de Servicios Metrológicos </t>
  </si>
  <si>
    <t xml:space="preserve">Cotizaciones solicitadas por los clientes gestionadas oportunamente que permitan la articulación entre los usuarios y las áreas del Instituto, dando respuesta a la demanda durante la vigencia. </t>
  </si>
  <si>
    <r>
      <rPr>
        <b/>
        <sz val="8"/>
        <rFont val="Calibri"/>
        <family val="2"/>
        <scheme val="minor"/>
      </rPr>
      <t>Control 2:</t>
    </r>
    <r>
      <rPr>
        <sz val="8"/>
        <rFont val="Calibri"/>
        <family val="2"/>
        <scheme val="minor"/>
      </rPr>
      <t xml:space="preserve"> Recibir el pago del cliente y radicarlo en el aplicativo
</t>
    </r>
    <r>
      <rPr>
        <b/>
        <sz val="8"/>
        <rFont val="Calibri"/>
        <family val="2"/>
        <scheme val="minor"/>
      </rPr>
      <t>Propósito</t>
    </r>
    <r>
      <rPr>
        <sz val="8"/>
        <rFont val="Calibri"/>
        <family val="2"/>
        <scheme val="minor"/>
      </rPr>
      <t xml:space="preserve">: Mantener informado con anticipación al cliente sobre las condiciones del servicio de manera que no se presenten demoras o cancelación de servicios programados
</t>
    </r>
    <r>
      <rPr>
        <b/>
        <sz val="8"/>
        <rFont val="Calibri"/>
        <family val="2"/>
        <scheme val="minor"/>
      </rPr>
      <t>Responsable:</t>
    </r>
    <r>
      <rPr>
        <sz val="8"/>
        <rFont val="Calibri"/>
        <family val="2"/>
        <scheme val="minor"/>
      </rPr>
      <t xml:space="preserve"> EREE
</t>
    </r>
    <r>
      <rPr>
        <b/>
        <sz val="8"/>
        <rFont val="Calibri"/>
        <family val="2"/>
        <scheme val="minor"/>
      </rPr>
      <t xml:space="preserve">¿Cómo se realiza el control?: </t>
    </r>
    <r>
      <rPr>
        <sz val="8"/>
        <rFont val="Calibri"/>
        <family val="2"/>
        <scheme val="minor"/>
      </rPr>
      <t xml:space="preserve">Revisa que el pago recibido efectivamente coincida con el servicio solicitado y que la información y monto estén correctos
</t>
    </r>
    <r>
      <rPr>
        <b/>
        <sz val="8"/>
        <rFont val="Calibri"/>
        <family val="2"/>
        <scheme val="minor"/>
      </rPr>
      <t>Periodicidad</t>
    </r>
    <r>
      <rPr>
        <sz val="8"/>
        <rFont val="Calibri"/>
        <family val="2"/>
        <scheme val="minor"/>
      </rPr>
      <t xml:space="preserve">: Por cada solicitud de servicio
</t>
    </r>
    <r>
      <rPr>
        <b/>
        <sz val="8"/>
        <rFont val="Calibri"/>
        <family val="2"/>
        <scheme val="minor"/>
      </rPr>
      <t>Evidencia</t>
    </r>
    <r>
      <rPr>
        <sz val="8"/>
        <rFont val="Calibri"/>
        <family val="2"/>
        <scheme val="minor"/>
      </rPr>
      <t xml:space="preserve">: Correo electrónico al área financiera
</t>
    </r>
    <r>
      <rPr>
        <b/>
        <sz val="8"/>
        <rFont val="Calibri"/>
        <family val="2"/>
        <scheme val="minor"/>
      </rPr>
      <t>Desviaciones/Observaciones</t>
    </r>
    <r>
      <rPr>
        <sz val="8"/>
        <rFont val="Calibri"/>
        <family val="2"/>
        <scheme val="minor"/>
      </rPr>
      <t xml:space="preserve">: Si se presenta una diferencia o desviación, se comunica con el cliente, solicitando aclaraciones del caso. Con la información validada Solicita por correo electrónico al grupo de Gestión Financiera la emisión del Recibo Oficial de Caja, adjuntando los soportes respectivos (Ver A-01-P-007 Procedimiento Gestión de Ingresos).
</t>
    </r>
    <r>
      <rPr>
        <b/>
        <sz val="8"/>
        <rFont val="Calibri"/>
        <family val="2"/>
        <scheme val="minor"/>
      </rPr>
      <t>Documentado</t>
    </r>
    <r>
      <rPr>
        <sz val="8"/>
        <rFont val="Calibri"/>
        <family val="2"/>
        <scheme val="minor"/>
      </rPr>
      <t>: Procedimiento A-08-P-001 Revisión de solicitudes, ofertas y contratos</t>
    </r>
  </si>
  <si>
    <r>
      <rPr>
        <b/>
        <sz val="8"/>
        <rFont val="Calibri"/>
        <family val="2"/>
        <scheme val="minor"/>
      </rPr>
      <t>Control 3:</t>
    </r>
    <r>
      <rPr>
        <sz val="8"/>
        <rFont val="Calibri"/>
        <family val="2"/>
        <scheme val="minor"/>
      </rPr>
      <t xml:space="preserve"> Cruzar recaudos bancarios identificando la venta de Servicios Metrológicos del mes a conciliar 
</t>
    </r>
    <r>
      <rPr>
        <b/>
        <sz val="8"/>
        <rFont val="Calibri"/>
        <family val="2"/>
        <scheme val="minor"/>
      </rPr>
      <t>Propósito</t>
    </r>
    <r>
      <rPr>
        <sz val="8"/>
        <rFont val="Calibri"/>
        <family val="2"/>
        <scheme val="minor"/>
      </rPr>
      <t xml:space="preserve">: Garantizar que la información que se registra por el Grupo de Gestión Financiera es acorde a la información de la venta de servicios metrológicos por parte de la SSMRC, asegurando la confiabilidad de la información presupuestal y contable.
</t>
    </r>
    <r>
      <rPr>
        <b/>
        <sz val="8"/>
        <rFont val="Calibri"/>
        <family val="2"/>
        <scheme val="minor"/>
      </rPr>
      <t>Responsable</t>
    </r>
    <r>
      <rPr>
        <sz val="8"/>
        <rFont val="Calibri"/>
        <family val="2"/>
        <scheme val="minor"/>
      </rPr>
      <t xml:space="preserve">: Profesional especializado grado 15 con funciones de tesorería
Profesional especializado grado 14 de la SSMRC con funciones de conciliación de venta de bienes y servicios.
</t>
    </r>
    <r>
      <rPr>
        <b/>
        <sz val="8"/>
        <rFont val="Calibri"/>
        <family val="2"/>
        <scheme val="minor"/>
      </rPr>
      <t xml:space="preserve">¿Cómo se realiza el control?:  </t>
    </r>
    <r>
      <rPr>
        <sz val="8"/>
        <rFont val="Calibri"/>
        <family val="2"/>
        <scheme val="minor"/>
      </rPr>
      <t xml:space="preserve">El profesional especializado grado 15 con funciones de tesorería, basado en la información registrada en el formato A-01-F-021 Control de ingresos presenta los recaudos que fueron identificados durante el mes a conciliar, como venta de servicios metrológicos y que por tanto cuenta con ROC. Adicionalmente, aquellas ventas por aplicación de saldos a favor.
Asimismo, el profesional especializado grado 14 de la SSMRC con funciones de conciliación de venta de bienes y servicios, basado en la información registrada en el formato A-08-F-018 Matriz de control de pagos de servicios INM confirma si la información presentada es correcta o requiere ajustes.
</t>
    </r>
    <r>
      <rPr>
        <b/>
        <sz val="8"/>
        <rFont val="Calibri"/>
        <family val="2"/>
        <scheme val="minor"/>
      </rPr>
      <t>Periodicidad:</t>
    </r>
    <r>
      <rPr>
        <sz val="8"/>
        <rFont val="Calibri"/>
        <family val="2"/>
        <scheme val="minor"/>
      </rPr>
      <t xml:space="preserve"> Mensual, teniendo en cuenta cada servicio prestado
</t>
    </r>
    <r>
      <rPr>
        <b/>
        <sz val="8"/>
        <rFont val="Calibri"/>
        <family val="2"/>
        <scheme val="minor"/>
      </rPr>
      <t>Evidencia:</t>
    </r>
    <r>
      <rPr>
        <sz val="8"/>
        <rFont val="Calibri"/>
        <family val="2"/>
        <scheme val="minor"/>
      </rPr>
      <t xml:space="preserve"> Actas de conciliación con el área financiera, A-01-F-021 Control de ingresos, A-08-F-018 Matriz de control de pagos de servicios INM
</t>
    </r>
    <r>
      <rPr>
        <b/>
        <sz val="8"/>
        <rFont val="Calibri"/>
        <family val="2"/>
        <scheme val="minor"/>
      </rPr>
      <t>Desviaciones/Observaciones</t>
    </r>
    <r>
      <rPr>
        <sz val="8"/>
        <rFont val="Calibri"/>
        <family val="2"/>
        <scheme val="minor"/>
      </rPr>
      <t xml:space="preserve">: En caso de presentarse pagos en exceso se deja constancia en el acta y se define como compromiso para que desde la SSMRC se defina con el cliente cómo proceder.
</t>
    </r>
    <r>
      <rPr>
        <b/>
        <sz val="8"/>
        <rFont val="Calibri"/>
        <family val="2"/>
        <scheme val="minor"/>
      </rPr>
      <t>Documentado</t>
    </r>
    <r>
      <rPr>
        <sz val="8"/>
        <rFont val="Calibri"/>
        <family val="2"/>
        <scheme val="minor"/>
      </rPr>
      <t>: A-01-P-015 CONCILIACIONES CONTABLES</t>
    </r>
  </si>
  <si>
    <t>Consiste en la posibilidad de que los bienes del INM no retornen a las instalaciones, una vez hayan sido retirados por el personal autorizado y que estos sean apropiados para el beneficio propio o de un tercero, desviando la gestión de lo público.
Acción u omisión: Hurto de los bienes propiedad del INM. 
Uso del Poder: Personal autorizado para el retiro de bienes 
Desviar la gestión de lo público: que los bienes no retornen a las instalaciones del INM una vez hayan sido retirados 
Beneficio privado: sea apropiados para el beneficio propio o de un tercero</t>
  </si>
  <si>
    <t>Inicia con los requerimientos institucionales y termina con la atención de las necesidades presentadas por las diferentes áreas del INM.</t>
  </si>
  <si>
    <t>Políticos, Legales y reglamentarios, Tecnológicos, Económicos y Financieros, culturales y sociales</t>
  </si>
  <si>
    <t>Personal, Financiero, comunicación interna, tecnología, procesos, estratégicos</t>
  </si>
  <si>
    <t>No retorno de los bienes del INM para beneficio propio o de un tercero</t>
  </si>
  <si>
    <t>Pérdida en ingresos económicos generados de la no oportunidad en la prestación del servicio
Sanciones Disciplinarias, Fiscales y Penales
Afectación de la imagen, la credibilidad, transparencia, capacidad pública de la entidad y al bien común de la ciudadanía
Reprocesos
Distrae recursos productivos hacia actividades que no generen beneficio alguno para la sociedad</t>
  </si>
  <si>
    <r>
      <rPr>
        <b/>
        <sz val="8"/>
        <rFont val="Calibri"/>
        <family val="2"/>
        <scheme val="minor"/>
      </rPr>
      <t>Control 1</t>
    </r>
    <r>
      <rPr>
        <sz val="8"/>
        <rFont val="Calibri"/>
        <family val="2"/>
        <scheme val="minor"/>
      </rPr>
      <t xml:space="preserve">: Revisar que el bien este asegurado
</t>
    </r>
    <r>
      <rPr>
        <b/>
        <sz val="8"/>
        <rFont val="Calibri"/>
        <family val="2"/>
        <scheme val="minor"/>
      </rPr>
      <t>Propósito:</t>
    </r>
    <r>
      <rPr>
        <sz val="8"/>
        <rFont val="Calibri"/>
        <family val="2"/>
        <scheme val="minor"/>
      </rPr>
      <t xml:space="preserve"> Asegurar que el bien propiedad del INM este cubierto bajo póliza
</t>
    </r>
    <r>
      <rPr>
        <b/>
        <sz val="8"/>
        <rFont val="Calibri"/>
        <family val="2"/>
        <scheme val="minor"/>
      </rPr>
      <t>Responsable</t>
    </r>
    <r>
      <rPr>
        <sz val="8"/>
        <rFont val="Calibri"/>
        <family val="2"/>
        <scheme val="minor"/>
      </rPr>
      <t xml:space="preserve">: Profesional del Grupo de Servicios Administrativos con Funciones de Almacén
</t>
    </r>
    <r>
      <rPr>
        <b/>
        <sz val="8"/>
        <rFont val="Calibri"/>
        <family val="2"/>
        <scheme val="minor"/>
      </rPr>
      <t xml:space="preserve">¿Cómo se realiza el control?: </t>
    </r>
    <r>
      <rPr>
        <sz val="8"/>
        <rFont val="Calibri"/>
        <family val="2"/>
        <scheme val="minor"/>
      </rPr>
      <t xml:space="preserve">Una vez reciba la alerta de correo electrónico para autorizar la salida de los bienes, revisé si el bien se encuentra asegurado.
</t>
    </r>
    <r>
      <rPr>
        <b/>
        <sz val="8"/>
        <rFont val="Calibri"/>
        <family val="2"/>
        <scheme val="minor"/>
      </rPr>
      <t>Periodicidad</t>
    </r>
    <r>
      <rPr>
        <sz val="8"/>
        <rFont val="Calibri"/>
        <family val="2"/>
        <scheme val="minor"/>
      </rPr>
      <t xml:space="preserve">: Para cada solicitud que se realice a través del aplicativo 
</t>
    </r>
    <r>
      <rPr>
        <b/>
        <sz val="8"/>
        <rFont val="Calibri"/>
        <family val="2"/>
        <scheme val="minor"/>
      </rPr>
      <t>Evidencia</t>
    </r>
    <r>
      <rPr>
        <sz val="8"/>
        <rFont val="Calibri"/>
        <family val="2"/>
        <scheme val="minor"/>
      </rPr>
      <t xml:space="preserve">: Registro y firma de aprobación en aplicativo y A-05-F-016 Autorización ingreso o retiro de Bienes
</t>
    </r>
    <r>
      <rPr>
        <b/>
        <sz val="8"/>
        <rFont val="Calibri"/>
        <family val="2"/>
        <scheme val="minor"/>
      </rPr>
      <t>Desviaciones/Observaciones</t>
    </r>
    <r>
      <rPr>
        <sz val="8"/>
        <rFont val="Calibri"/>
        <family val="2"/>
        <scheme val="minor"/>
      </rPr>
      <t xml:space="preserve">: Si en la revisión se identifica que el bien se encuentra asegurado, se aprueba y firma la solicitud, si no se encuentra asegurado, rechaza la solicitud.
</t>
    </r>
    <r>
      <rPr>
        <b/>
        <sz val="8"/>
        <rFont val="Calibri"/>
        <family val="2"/>
        <scheme val="minor"/>
      </rPr>
      <t>Documentado</t>
    </r>
    <r>
      <rPr>
        <sz val="8"/>
        <rFont val="Calibri"/>
        <family val="2"/>
        <scheme val="minor"/>
      </rPr>
      <t>: Procedimiento A-05-P-006 Ingreso o retiro de bienes</t>
    </r>
  </si>
  <si>
    <t>Identificar un mecanismo de control y rastreo de los bienes que están fuera de las instalaciones del INM.</t>
  </si>
  <si>
    <t>Mecanismo de control documentado.</t>
  </si>
  <si>
    <t>Coordinador del GITGSA</t>
  </si>
  <si>
    <t>Verificación de bienes devolutivos del INM ejecutadas de acuerdo con el cronograma de inventarios, asegurando la existencia física de los mismos para apoyar el cumplimiento de los objetivos misionales del INM</t>
  </si>
  <si>
    <r>
      <rPr>
        <b/>
        <sz val="8"/>
        <rFont val="Calibri"/>
        <family val="2"/>
        <scheme val="minor"/>
      </rPr>
      <t>Control 2</t>
    </r>
    <r>
      <rPr>
        <sz val="8"/>
        <rFont val="Calibri"/>
        <family val="2"/>
        <scheme val="minor"/>
      </rPr>
      <t xml:space="preserve">: Validar formato de autorización
</t>
    </r>
    <r>
      <rPr>
        <b/>
        <sz val="8"/>
        <rFont val="Calibri"/>
        <family val="2"/>
        <scheme val="minor"/>
      </rPr>
      <t>Propósito:</t>
    </r>
    <r>
      <rPr>
        <sz val="8"/>
        <rFont val="Calibri"/>
        <family val="2"/>
        <scheme val="minor"/>
      </rPr>
      <t xml:space="preserve"> Verificar el correcto diligenciamiento del formato
</t>
    </r>
    <r>
      <rPr>
        <b/>
        <sz val="8"/>
        <rFont val="Calibri"/>
        <family val="2"/>
        <scheme val="minor"/>
      </rPr>
      <t>Responsable</t>
    </r>
    <r>
      <rPr>
        <sz val="8"/>
        <rFont val="Calibri"/>
        <family val="2"/>
        <scheme val="minor"/>
      </rPr>
      <t xml:space="preserve">: Profesional delegado del Grupo de Servicios Administrativos
</t>
    </r>
    <r>
      <rPr>
        <b/>
        <sz val="8"/>
        <rFont val="Calibri"/>
        <family val="2"/>
        <scheme val="minor"/>
      </rPr>
      <t xml:space="preserve">¿Cómo se realiza el control?: </t>
    </r>
    <r>
      <rPr>
        <sz val="8"/>
        <rFont val="Calibri"/>
        <family val="2"/>
        <scheme val="minor"/>
      </rPr>
      <t xml:space="preserve">Una vez reciba la alerta de correo electrónico para autorizar la salida de los bienes, con la firma del jefe inmediato, el Profesional delegado del GSA, valida que todos los ítems del formato estén correctamente diligenciados, de no encontrarse inconsistencias procede a dar el visto bueno para el retiro de los bienes a través del aplicativo.
</t>
    </r>
    <r>
      <rPr>
        <b/>
        <sz val="8"/>
        <rFont val="Calibri"/>
        <family val="2"/>
        <scheme val="minor"/>
      </rPr>
      <t>Periodicidad</t>
    </r>
    <r>
      <rPr>
        <sz val="8"/>
        <rFont val="Calibri"/>
        <family val="2"/>
        <scheme val="minor"/>
      </rPr>
      <t xml:space="preserve">: Para cada solicitud que se realice a través del aplicativo 
</t>
    </r>
    <r>
      <rPr>
        <b/>
        <sz val="8"/>
        <rFont val="Calibri"/>
        <family val="2"/>
        <scheme val="minor"/>
      </rPr>
      <t>Evidencia</t>
    </r>
    <r>
      <rPr>
        <sz val="8"/>
        <rFont val="Calibri"/>
        <family val="2"/>
        <scheme val="minor"/>
      </rPr>
      <t xml:space="preserve">: Correo electrónico y A-05-F-016 Autorización ingreso o retiro de Bienes
</t>
    </r>
    <r>
      <rPr>
        <b/>
        <sz val="8"/>
        <rFont val="Calibri"/>
        <family val="2"/>
        <scheme val="minor"/>
      </rPr>
      <t>Desviaciones/Observaciones</t>
    </r>
    <r>
      <rPr>
        <sz val="8"/>
        <rFont val="Calibri"/>
        <family val="2"/>
        <scheme val="minor"/>
      </rPr>
      <t xml:space="preserve">: En caso de encontrar inconsistencias El Profesional delegado del GSA redacta las observaciones por las cuales requiere que se ajuste el formato y rechaza la solicitud.
</t>
    </r>
    <r>
      <rPr>
        <b/>
        <sz val="8"/>
        <rFont val="Calibri"/>
        <family val="2"/>
        <scheme val="minor"/>
      </rPr>
      <t>Documentado</t>
    </r>
    <r>
      <rPr>
        <sz val="8"/>
        <rFont val="Calibri"/>
        <family val="2"/>
        <scheme val="minor"/>
      </rPr>
      <t>: Procedimiento A-05-P-006 Ingreso o retiro de bienes</t>
    </r>
  </si>
  <si>
    <r>
      <rPr>
        <b/>
        <sz val="8"/>
        <rFont val="Calibri"/>
        <family val="2"/>
        <scheme val="minor"/>
      </rPr>
      <t>Control 3</t>
    </r>
    <r>
      <rPr>
        <sz val="8"/>
        <rFont val="Calibri"/>
        <family val="2"/>
        <scheme val="minor"/>
      </rPr>
      <t xml:space="preserve">: Permitir la salida de bienes de las instalaciones del INM
</t>
    </r>
    <r>
      <rPr>
        <b/>
        <sz val="8"/>
        <rFont val="Calibri"/>
        <family val="2"/>
        <scheme val="minor"/>
      </rPr>
      <t>Propósito:</t>
    </r>
    <r>
      <rPr>
        <sz val="8"/>
        <rFont val="Calibri"/>
        <family val="2"/>
        <scheme val="minor"/>
      </rPr>
      <t xml:space="preserve"> Asegurar que los bienes físicos a retirar de las instalaciones del INM correspondan a los consignados en el registro
</t>
    </r>
    <r>
      <rPr>
        <b/>
        <sz val="8"/>
        <rFont val="Calibri"/>
        <family val="2"/>
        <scheme val="minor"/>
      </rPr>
      <t>Responsable</t>
    </r>
    <r>
      <rPr>
        <sz val="8"/>
        <rFont val="Calibri"/>
        <family val="2"/>
        <scheme val="minor"/>
      </rPr>
      <t xml:space="preserve">: Personal de la empresa de vigilancia.
</t>
    </r>
    <r>
      <rPr>
        <b/>
        <sz val="8"/>
        <rFont val="Calibri"/>
        <family val="2"/>
        <scheme val="minor"/>
      </rPr>
      <t xml:space="preserve">¿Cómo se realiza el control?: </t>
    </r>
    <r>
      <rPr>
        <sz val="8"/>
        <rFont val="Calibri"/>
        <family val="2"/>
        <scheme val="minor"/>
      </rPr>
      <t xml:space="preserve">Una vez se reciba la alerta de correo electrónico con la autorización para la salida de los bienes de las instalaciones del INM o de la SIC el registro A-05-F-016 Autorización ingreso o retiro de Bienes, procede a verificar que la marca, descripción, serial, referencia y placa sean los mismos a los bienes físicos a retirar, si no hay inconsistencias firma el registro a través del aplicativo y permite el retiro de los bienes.
</t>
    </r>
    <r>
      <rPr>
        <b/>
        <sz val="8"/>
        <rFont val="Calibri"/>
        <family val="2"/>
        <scheme val="minor"/>
      </rPr>
      <t>Periodicidad</t>
    </r>
    <r>
      <rPr>
        <sz val="8"/>
        <rFont val="Calibri"/>
        <family val="2"/>
        <scheme val="minor"/>
      </rPr>
      <t xml:space="preserve">: Para cada solicitud que se realice a través del aplicativo 
</t>
    </r>
    <r>
      <rPr>
        <b/>
        <sz val="8"/>
        <rFont val="Calibri"/>
        <family val="2"/>
        <scheme val="minor"/>
      </rPr>
      <t>Evidencia</t>
    </r>
    <r>
      <rPr>
        <sz val="8"/>
        <rFont val="Calibri"/>
        <family val="2"/>
        <scheme val="minor"/>
      </rPr>
      <t xml:space="preserve">: A-05-F-016 Autorización ingreso o retiro de Bienes
A-05-F-019 Solicitud para envío de bienes por el servicio de Paquetería
</t>
    </r>
    <r>
      <rPr>
        <b/>
        <sz val="8"/>
        <rFont val="Calibri"/>
        <family val="2"/>
        <scheme val="minor"/>
      </rPr>
      <t>Desviaciones/Observaciones</t>
    </r>
    <r>
      <rPr>
        <sz val="8"/>
        <rFont val="Calibri"/>
        <family val="2"/>
        <scheme val="minor"/>
      </rPr>
      <t xml:space="preserve">: En caso de haber inconsistencias no se permite la salida de los bienes y el funcionario o Contratista del INM o de la SIC deberá solicitar nuevamente la salida del bien.
Para el caso de los equipos Metrológicos que requieran ser enviados por la empresa transportadora, el funcionario o contratista autorizado en el formato A-05-F-016 Autorización ingreso o retiro de Bienes debe entregar el equipo al responsable o delegado de la Unidad de Correspondencia quien diligencia el formato A-05-F-019 Solicitud para envío de bienes por el servicio de Paquetería.
</t>
    </r>
    <r>
      <rPr>
        <b/>
        <sz val="8"/>
        <rFont val="Calibri"/>
        <family val="2"/>
        <scheme val="minor"/>
      </rPr>
      <t>Documentado</t>
    </r>
    <r>
      <rPr>
        <sz val="8"/>
        <rFont val="Calibri"/>
        <family val="2"/>
        <scheme val="minor"/>
      </rPr>
      <t>: Procedimiento A-05-P-006 Ingreso o retiro de bienes</t>
    </r>
  </si>
  <si>
    <r>
      <rPr>
        <b/>
        <sz val="8"/>
        <rFont val="Calibri"/>
        <family val="2"/>
        <scheme val="minor"/>
      </rPr>
      <t>Control 4</t>
    </r>
    <r>
      <rPr>
        <sz val="8"/>
        <rFont val="Calibri"/>
        <family val="2"/>
        <scheme val="minor"/>
      </rPr>
      <t xml:space="preserve">: Verificar información de los bienes para su ingreso a las instalaciones del INM
</t>
    </r>
    <r>
      <rPr>
        <b/>
        <sz val="8"/>
        <rFont val="Calibri"/>
        <family val="2"/>
        <scheme val="minor"/>
      </rPr>
      <t>Propósito:</t>
    </r>
    <r>
      <rPr>
        <sz val="8"/>
        <rFont val="Calibri"/>
        <family val="2"/>
        <scheme val="minor"/>
      </rPr>
      <t xml:space="preserve"> Verificar que los bienes físicos a ingresar a las instalaciones del INM correspondan a los consignados en el registro de cuando salieron
</t>
    </r>
    <r>
      <rPr>
        <b/>
        <sz val="8"/>
        <rFont val="Calibri"/>
        <family val="2"/>
        <scheme val="minor"/>
      </rPr>
      <t>Responsable</t>
    </r>
    <r>
      <rPr>
        <sz val="8"/>
        <rFont val="Calibri"/>
        <family val="2"/>
        <scheme val="minor"/>
      </rPr>
      <t xml:space="preserve">: Personal de la empresa de vigilancia.
</t>
    </r>
    <r>
      <rPr>
        <b/>
        <sz val="8"/>
        <rFont val="Calibri"/>
        <family val="2"/>
        <scheme val="minor"/>
      </rPr>
      <t xml:space="preserve">¿Cómo se realiza el control?: </t>
    </r>
    <r>
      <rPr>
        <sz val="8"/>
        <rFont val="Calibri"/>
        <family val="2"/>
        <scheme val="minor"/>
      </rPr>
      <t xml:space="preserve">El funcionario o Contratista del INM o de la SIC que vaya a ingresar con un bien que retiro previamente, debe informarlo al personal de la empresa de vigilancia el cual procede a verificar que la marca, descripción, serial, referencia y placa sean los mismos a los que se encuentran consignados en el registro A-05-F-016 Autorización ingreso o retiro de Bienes, si no hay inconsistencias firma el registro y permite el ingreso de los bienes.
</t>
    </r>
    <r>
      <rPr>
        <b/>
        <sz val="8"/>
        <rFont val="Calibri"/>
        <family val="2"/>
        <scheme val="minor"/>
      </rPr>
      <t>Periodicidad</t>
    </r>
    <r>
      <rPr>
        <sz val="8"/>
        <rFont val="Calibri"/>
        <family val="2"/>
        <scheme val="minor"/>
      </rPr>
      <t xml:space="preserve">: Para cada solicitud que se realice a través del aplicativo 
</t>
    </r>
    <r>
      <rPr>
        <b/>
        <sz val="8"/>
        <rFont val="Calibri"/>
        <family val="2"/>
        <scheme val="minor"/>
      </rPr>
      <t>Evidencia</t>
    </r>
    <r>
      <rPr>
        <sz val="8"/>
        <rFont val="Calibri"/>
        <family val="2"/>
        <scheme val="minor"/>
      </rPr>
      <t xml:space="preserve">: A-05-F-016 Autorización ingreso o retiro de Bienes.
</t>
    </r>
    <r>
      <rPr>
        <b/>
        <sz val="8"/>
        <rFont val="Calibri"/>
        <family val="2"/>
        <scheme val="minor"/>
      </rPr>
      <t>Desviaciones/Observaciones</t>
    </r>
    <r>
      <rPr>
        <sz val="8"/>
        <rFont val="Calibri"/>
        <family val="2"/>
        <scheme val="minor"/>
      </rPr>
      <t xml:space="preserve">: Pendiente por documentar
</t>
    </r>
    <r>
      <rPr>
        <b/>
        <sz val="8"/>
        <rFont val="Calibri"/>
        <family val="2"/>
        <scheme val="minor"/>
      </rPr>
      <t>Documentado</t>
    </r>
    <r>
      <rPr>
        <sz val="8"/>
        <rFont val="Calibri"/>
        <family val="2"/>
        <scheme val="minor"/>
      </rPr>
      <t>: Procedimiento A-05-P-006 Ingreso o retiro de bienes (actividad 6 del numeral  7. 1. Ingreso o retiro de bienes de las instalaciones del INM)</t>
    </r>
  </si>
  <si>
    <t>Revisar para actualizar la actividad 6 del numeral  7. 1. Ingreso o retiro de bienes de las instalaciones del INM del procedimiento A-05-P-006 Ingreso o retiro de bienes, incluyendo la actividad relacionada con las desviaciones/observaciones de este control #4</t>
  </si>
  <si>
    <t xml:space="preserve">Documento actualizado </t>
  </si>
  <si>
    <t xml:space="preserve">Posibilidad de recibir o solicitar cualquier dádiva o beneficio a nombre propio o de terceros con el fin de filtrar información estratégica o confidencial que pueda usarse para ilícitos o favorecer intereses particulares, por acceso no autorizado a  personal a la información del archivo central </t>
  </si>
  <si>
    <t>Esto puede ocurrir cuando se favorece a terceros por ingreso de personal no autorizado o externo al INM,  se permita el acceso a la información confidencial o clasificada de algún modo,   mediante prácticas de amiguismo o la aceptación de promesas o pagos desviando la gestión pública en beneficio de intereses privados o particulares
Acción u omisión: Acceso no autorizado al archivo central y filtración de información estratégica o confidencial. Por omisión, ausencia de controles efectivos para regular el acceso a la información confidencial y supervisar su manejo.
Uso del poder: Abuso de posición o autoridad dentro del organismo público para facilitar el acceso indebido a información confidencial del archivo central.
Desviar la gestión de lo público:  Se desvía la función del archivo central, que debería garantizar la protección de la información estratégica, para atender intereses personales o particulares mediante la filtración indebida de datos.
Beneficio privado: Obtención de beneficios económicos, favores, o ventajas ilegítimas para sí mismo o terceros, derivadas del uso indebido de la información estratégica o confidencial filtrada.</t>
  </si>
  <si>
    <t>Inicia desde la producción y/o recepción de los documentos y termina con la eliminación o conservación total en un archivo permanente. Aplica al manejo de toda la documentación en medio de soporte físico o electrónico.</t>
  </si>
  <si>
    <t xml:space="preserve">Información del Archivo Central </t>
  </si>
  <si>
    <t xml:space="preserve">Copia de las llaves de ingreso al archivo en vigilancia sin control o desatendidas 
Entrega de llaves por parte de vigilancia a personal no autorizado
Pérdida de las llaves </t>
  </si>
  <si>
    <t>Acceso no autorizado a la información
Pérdida de información
Sanción por parte de organismos de Control  (depende del tipo de información)</t>
  </si>
  <si>
    <r>
      <rPr>
        <b/>
        <sz val="8"/>
        <color rgb="FF000000"/>
        <rFont val="Calibri"/>
        <scheme val="minor"/>
      </rPr>
      <t>Control</t>
    </r>
    <r>
      <rPr>
        <sz val="8"/>
        <color rgb="FF000000"/>
        <rFont val="Calibri"/>
        <scheme val="minor"/>
      </rPr>
      <t xml:space="preserve">: Control de acceso.
</t>
    </r>
    <r>
      <rPr>
        <b/>
        <sz val="8"/>
        <color rgb="FF000000"/>
        <rFont val="Calibri"/>
        <scheme val="minor"/>
      </rPr>
      <t>Propósito</t>
    </r>
    <r>
      <rPr>
        <sz val="8"/>
        <color rgb="FF000000"/>
        <rFont val="Calibri"/>
        <scheme val="minor"/>
      </rPr>
      <t xml:space="preserve">: Garantizar que el acceso al archivo central sea restringido, solo a personal autorizado. 
</t>
    </r>
    <r>
      <rPr>
        <b/>
        <sz val="8"/>
        <color rgb="FF000000"/>
        <rFont val="Calibri"/>
        <scheme val="minor"/>
      </rPr>
      <t>Responsable:</t>
    </r>
    <r>
      <rPr>
        <sz val="8"/>
        <color rgb="FF000000"/>
        <rFont val="Calibri"/>
        <scheme val="minor"/>
      </rPr>
      <t xml:space="preserve">  El responsable del archivo
</t>
    </r>
    <r>
      <rPr>
        <b/>
        <sz val="8"/>
        <color rgb="FF000000"/>
        <rFont val="Calibri"/>
        <scheme val="minor"/>
      </rPr>
      <t>¿Cómo se realiza el control?</t>
    </r>
    <r>
      <rPr>
        <sz val="8"/>
        <color rgb="FF000000"/>
        <rFont val="Calibri"/>
        <scheme val="minor"/>
      </rPr>
      <t xml:space="preserve">: Se cuenta con el espacio físico del archivo central el cual se encuentra cerrado con llave la cual solo hay dos copias, una al responsable del archivo y otra al personal de vigilancia (por emergencia o seguridad)
</t>
    </r>
    <r>
      <rPr>
        <b/>
        <sz val="8"/>
        <color rgb="FF000000"/>
        <rFont val="Calibri"/>
        <scheme val="minor"/>
      </rPr>
      <t>Periodicidad</t>
    </r>
    <r>
      <rPr>
        <sz val="8"/>
        <color rgb="FF000000"/>
        <rFont val="Calibri"/>
        <scheme val="minor"/>
      </rPr>
      <t xml:space="preserve">: Siempre se encuentra con llave, solo accede personal autorizado de manera diaria. 
</t>
    </r>
    <r>
      <rPr>
        <b/>
        <sz val="8"/>
        <color rgb="FF000000"/>
        <rFont val="Calibri"/>
        <scheme val="minor"/>
      </rPr>
      <t>Evidencia</t>
    </r>
    <r>
      <rPr>
        <sz val="8"/>
        <color rgb="FF000000"/>
        <rFont val="Calibri"/>
        <scheme val="minor"/>
      </rPr>
      <t xml:space="preserve">: Listado de toma de condiciones ambientales en el sitio de archivo central, deja constancia del ingreso del personal. 
</t>
    </r>
    <r>
      <rPr>
        <b/>
        <sz val="8"/>
        <color rgb="FF000000"/>
        <rFont val="Calibri"/>
        <scheme val="minor"/>
      </rPr>
      <t>Desviaciones/Observaciones</t>
    </r>
    <r>
      <rPr>
        <sz val="8"/>
        <color rgb="FF000000"/>
        <rFont val="Calibri"/>
        <scheme val="minor"/>
      </rPr>
      <t xml:space="preserve">: El responsable del archivo revisa el diligenciamiento del registro donde se evidencia el ingreso de la persona que registro las mismas.  En caso de que la persona encargada no se encuentre o no las haya registrado, responsable del archivo hace este registro 
</t>
    </r>
    <r>
      <rPr>
        <b/>
        <sz val="8"/>
        <color rgb="FF000000"/>
        <rFont val="Calibri"/>
        <scheme val="minor"/>
      </rPr>
      <t>Documentado</t>
    </r>
    <r>
      <rPr>
        <sz val="8"/>
        <color rgb="FF000000"/>
        <rFont val="Calibri"/>
        <scheme val="minor"/>
      </rPr>
      <t>: A-03-F-007 Registro de condiciones ambientales.</t>
    </r>
  </si>
  <si>
    <t xml:space="preserve">Revisar el procedimiento designado para tal fin y actualizarlo de ser necesario el control de acceso a esta el área del archivo central. </t>
  </si>
  <si>
    <t>Sandra Sierra</t>
  </si>
  <si>
    <t>Transferencias documentales cumplidas de acuerdo con el cronograma anual, con el fin de preservar la memora institucional en el archivo central del INM, garantizando la eficiencia y calidad a los procesos de la entidad.</t>
  </si>
  <si>
    <t xml:space="preserve">Esta situación puede ocurrir cuando se realice una justificación de necesidad que no corresponde con las características reales del proceso, cuando la redacción de especificaciones diseñadas está direccionada a beneficiar a un proveedor en particular, limitando la competencia en el proceso de selección.  Cuando no se realizan estudios de mercado adecuados o utilizar información sesgada para justificar la selección de proveedores específicos, resultando en adquisiciones poco competitivas. Cuando se realizan adquisiciones directas sin justificación adecuada o sin publicar los procesos en las plataformas de contratación pública, dificultando la supervisión y el acceso a la información.
Acción u omisión:  Favorecimiento intencionado de ciertos proveedores durante los procesos de adquisición, ignorando criterios técnicos o de competencia. Por omisión, debido a la ausencia de revisión adecuada de las especificaciones técnicas y estudios de mercado necesarios para justificar la selección del proveedor.
Uso del poder: Abuso de la autoridad o influencia en el proceso de adquisición para orientar decisiones hacia proveedores específicos, pasando por alto los principios de transparencia y equidad.
Desviar la gestión de lo público: Se compromete la finalidad pública del proceso de adquisiciones, que debería enfocarse en satisfacer las necesidades del INM con eficiencia y objetividad, desviándose hacia intereses privados.
Beneficio privado: Obtención de incentivos económicos, dádivas, o favores a cambio de favorecer indebidamente a ciertos proveedores en los contratos de adquisición de materiales o equipos.
</t>
  </si>
  <si>
    <t>Presiones externas</t>
  </si>
  <si>
    <t>Amiguismo
Presiones Indebidas</t>
  </si>
  <si>
    <t>Falta de criterios técnicos y procedimientos claros para la selección de materiales y equipos.</t>
  </si>
  <si>
    <t>Aumento de costos o utilización de materiales de baja calidad.
Afectación de las operaciones del INM</t>
  </si>
  <si>
    <r>
      <rPr>
        <b/>
        <sz val="8"/>
        <rFont val="Calibri"/>
        <family val="2"/>
        <scheme val="minor"/>
      </rPr>
      <t>Control 1</t>
    </r>
    <r>
      <rPr>
        <sz val="8"/>
        <rFont val="Calibri"/>
        <family val="2"/>
        <scheme val="minor"/>
      </rPr>
      <t xml:space="preserve">: Revisión técnica y evaluación independiente de proveedores
</t>
    </r>
    <r>
      <rPr>
        <b/>
        <sz val="8"/>
        <rFont val="Calibri"/>
        <family val="2"/>
        <scheme val="minor"/>
      </rPr>
      <t xml:space="preserve">Propósito: </t>
    </r>
    <r>
      <rPr>
        <sz val="8"/>
        <rFont val="Calibri"/>
        <family val="2"/>
        <scheme val="minor"/>
      </rPr>
      <t>Garantizar que la selección de proveedores se base en criterios técnicos y objetivos, evitando sesgos o favoritismos.</t>
    </r>
    <r>
      <rPr>
        <b/>
        <sz val="8"/>
        <rFont val="Calibri"/>
        <family val="2"/>
        <scheme val="minor"/>
      </rPr>
      <t xml:space="preserve">
Responsable</t>
    </r>
    <r>
      <rPr>
        <sz val="8"/>
        <rFont val="Calibri"/>
        <family val="2"/>
        <scheme val="minor"/>
      </rPr>
      <t xml:space="preserve">: Abogado estructurador asignado al proceso de contratación
</t>
    </r>
    <r>
      <rPr>
        <b/>
        <sz val="8"/>
        <rFont val="Calibri"/>
        <family val="2"/>
        <scheme val="minor"/>
      </rPr>
      <t>¿Cómo se realiza el control?</t>
    </r>
    <r>
      <rPr>
        <sz val="8"/>
        <rFont val="Calibri"/>
        <family val="2"/>
        <scheme val="minor"/>
      </rPr>
      <t xml:space="preserve">: Se conforma y se designará un Comité Evaluador conformado por el área técnica, el área financiera y el profesional del Grupo de GJCD designado, los cuales realizarán la evaluación propuestas según especificaciones técnicas y estudios de mercado y  procederán a publicar en la plataforma designada por Colombia Compra Eficiente.
</t>
    </r>
    <r>
      <rPr>
        <b/>
        <sz val="8"/>
        <rFont val="Calibri"/>
        <family val="2"/>
        <scheme val="minor"/>
      </rPr>
      <t>Periodicidad:</t>
    </r>
    <r>
      <rPr>
        <sz val="8"/>
        <rFont val="Calibri"/>
        <family val="2"/>
        <scheme val="minor"/>
      </rPr>
      <t xml:space="preserve"> Para cada proceso de adquisición.
</t>
    </r>
    <r>
      <rPr>
        <b/>
        <sz val="8"/>
        <rFont val="Calibri"/>
        <family val="2"/>
        <scheme val="minor"/>
      </rPr>
      <t>Evidencia:</t>
    </r>
    <r>
      <rPr>
        <sz val="8"/>
        <rFont val="Calibri"/>
        <family val="2"/>
        <scheme val="minor"/>
      </rPr>
      <t xml:space="preserve"> A-07-F-024 Informe de evaluación ofertas, según la modalidad que corresponda y procederán a publicar en la plataforma designada por Colombia Compra Eficiente.
</t>
    </r>
    <r>
      <rPr>
        <b/>
        <sz val="8"/>
        <rFont val="Calibri"/>
        <family val="2"/>
        <scheme val="minor"/>
      </rPr>
      <t>Desviaciones/observaciones</t>
    </r>
    <r>
      <rPr>
        <sz val="8"/>
        <rFont val="Calibri"/>
        <family val="2"/>
        <scheme val="minor"/>
      </rPr>
      <t xml:space="preserve">: Si las observaciones son previas a la designación del comité evaluador, las respuestas deberán ser firmadas por el Ordenador del Gasto, si son producto de los informes de evaluación deberán ser firmadas por los miembros del comité evaluador, respectivamente.
Para el caso de observaciones que necesitan la participación de varios miembros del comité evaluador, el abogado consolidará las respuestas a las observaciones para luego publicarlas en SECOP II.
</t>
    </r>
    <r>
      <rPr>
        <b/>
        <sz val="8"/>
        <rFont val="Calibri"/>
        <family val="2"/>
        <scheme val="minor"/>
      </rPr>
      <t>Documento</t>
    </r>
    <r>
      <rPr>
        <sz val="8"/>
        <rFont val="Calibri"/>
        <family val="2"/>
        <scheme val="minor"/>
      </rPr>
      <t>: Procedimiento A-07-P-001 Etapa pre-Contractual.</t>
    </r>
  </si>
  <si>
    <t xml:space="preserve">Revisión del Programa de Mantenimiento Preventivo y Correctivo </t>
  </si>
  <si>
    <t xml:space="preserve">Javier Hernando Núñez </t>
  </si>
  <si>
    <t>Actividades ejecutadas según el plan de mantenimiento de equipos eléctricos, planta física y climatización asegurando el adecuado y permanente funcionamiento de dichos equipos para aportar con la eficiencia y calidad de los procesos de la entidad</t>
  </si>
  <si>
    <t xml:space="preserve">Se puede presentar cuando hay vacíos o con términos de referencia muy específicos en los cuales se pude ver direccionado el contrato. 
Acción u omisión: Acción: Modificar deliberadamente las especificaciones técnicas en los términos de referencia. Por omisión, no realizar la debida supervisión o control para garantizar la objetividad y transparencia de las especificaciones técnicas.
Uso del Poder: Abuso del poder otorgado para diseñar, aprobar o supervisar los términos de referencia, aprovechando la posición dentro de la entidad pública para influir en las decisiones de adquisición.
Desviar la gestión de lo público: Desviar el propósito del proceso de contratación pública, que debería enfocarse en seleccionar al proveedor más competitivo y adecuado, hacia el beneficio de intereses particulares o de un proveedor específico.
Beneficio privado: Obtención de dádivas, pagos, favores o cualquier tipo de beneficio personal (económico o no) a cambio de manipular los términos de referencia para favorecer a un proveedor determinado.
</t>
  </si>
  <si>
    <t>Manipulación de los documentos de contratación por intereses particulares.</t>
  </si>
  <si>
    <t>Contrataciones poco competitivas y falta de cumplimiento de los objetivos de calidad y sostenibilidad.</t>
  </si>
  <si>
    <r>
      <rPr>
        <b/>
        <sz val="8"/>
        <color rgb="FF000000"/>
        <rFont val="Calibri"/>
        <scheme val="minor"/>
      </rPr>
      <t>Control:</t>
    </r>
    <r>
      <rPr>
        <sz val="8"/>
        <color rgb="FF000000"/>
        <rFont val="Calibri"/>
        <scheme val="minor"/>
      </rPr>
      <t xml:space="preserve"> Revisión técnica y evaluación independiente de proveedores
</t>
    </r>
    <r>
      <rPr>
        <b/>
        <sz val="8"/>
        <color rgb="FF000000"/>
        <rFont val="Calibri"/>
        <scheme val="minor"/>
      </rPr>
      <t>Propósito</t>
    </r>
    <r>
      <rPr>
        <sz val="8"/>
        <color rgb="FF000000"/>
        <rFont val="Calibri"/>
        <scheme val="minor"/>
      </rPr>
      <t xml:space="preserve">: Garantizar que la selección de proveedores se base en criterios técnicos y objetivos, evitando sesgos o favoritismos.
</t>
    </r>
    <r>
      <rPr>
        <b/>
        <sz val="8"/>
        <color rgb="FF000000"/>
        <rFont val="Calibri"/>
        <scheme val="minor"/>
      </rPr>
      <t>Responsable</t>
    </r>
    <r>
      <rPr>
        <sz val="8"/>
        <color rgb="FF000000"/>
        <rFont val="Calibri"/>
        <scheme val="minor"/>
      </rPr>
      <t xml:space="preserve">: Abogado estructurador asignado al proceso de contratación
</t>
    </r>
    <r>
      <rPr>
        <b/>
        <sz val="8"/>
        <color rgb="FF000000"/>
        <rFont val="Calibri"/>
        <scheme val="minor"/>
      </rPr>
      <t xml:space="preserve">¿Cómo se realiza el control?: </t>
    </r>
    <r>
      <rPr>
        <sz val="8"/>
        <color rgb="FF000000"/>
        <rFont val="Calibri"/>
        <scheme val="minor"/>
      </rPr>
      <t xml:space="preserve">Se conforma un se designará un Comité Evaluador conformado por el área técnica, el área financiera y el profesional del Grupo de GJCD designado, los cuales realizarán la evaluación propuestas según especificaciones técnicas y estudios de mercado y  procederán a publicar en la plataforma designada por Colombia Compra Eficiente.
</t>
    </r>
    <r>
      <rPr>
        <b/>
        <sz val="8"/>
        <color rgb="FF000000"/>
        <rFont val="Calibri"/>
        <scheme val="minor"/>
      </rPr>
      <t>Periodicidad</t>
    </r>
    <r>
      <rPr>
        <sz val="8"/>
        <color rgb="FF000000"/>
        <rFont val="Calibri"/>
        <scheme val="minor"/>
      </rPr>
      <t xml:space="preserve">: Para cada proceso de adquisición.
</t>
    </r>
    <r>
      <rPr>
        <b/>
        <sz val="8"/>
        <color rgb="FF000000"/>
        <rFont val="Calibri"/>
        <scheme val="minor"/>
      </rPr>
      <t>Evidencia:</t>
    </r>
    <r>
      <rPr>
        <sz val="8"/>
        <color rgb="FF000000"/>
        <rFont val="Calibri"/>
        <scheme val="minor"/>
      </rPr>
      <t xml:space="preserve"> A-07-F-024 Informe de evaluación ofertas, según la modalidad que corresponda y procederán a publicar en la plataforma designada por Colombia Compra Eficiente.
</t>
    </r>
    <r>
      <rPr>
        <b/>
        <sz val="8"/>
        <color rgb="FF000000"/>
        <rFont val="Calibri"/>
        <scheme val="minor"/>
      </rPr>
      <t xml:space="preserve">Desviaciones/observaciones: </t>
    </r>
    <r>
      <rPr>
        <sz val="8"/>
        <color rgb="FF000000"/>
        <rFont val="Calibri"/>
        <scheme val="minor"/>
      </rPr>
      <t xml:space="preserve">Si las observaciones son previas a la designación del comité evaluador, las respuestas deberán ser firmadas por el Ordenador del Gasto, si son producto de los informes de evaluación deberán ser firmadas por los miembros del comité evaluador, respectivamente.
Para el caso de observaciones que necesitan la participación de varios miembros del comité evaluador, el abogado consolidará las respuestas a las observaciones para luego publicarlas en SECOP II.
</t>
    </r>
    <r>
      <rPr>
        <b/>
        <sz val="8"/>
        <color rgb="FF000000"/>
        <rFont val="Calibri"/>
        <scheme val="minor"/>
      </rPr>
      <t>Documento</t>
    </r>
    <r>
      <rPr>
        <sz val="8"/>
        <color rgb="FF000000"/>
        <rFont val="Calibri"/>
        <scheme val="minor"/>
      </rPr>
      <t>: Procedimiento A-07-P-001 Etapa pre-Contractual.</t>
    </r>
  </si>
  <si>
    <t>Actividades programadas en el Plan de Comercio Exterior ejecutadas de acuerdo con este para la siguiente vigencia, ayudando a la adquisición o traslado de bienes/servicios con proveedores internacionales aportando al cumplimiento de los objetivos del INM.</t>
  </si>
  <si>
    <t>Posibilidad de recibir o solicitar dádivas o beneficios a nombre propio o de terceros con el fin de alterar procesos técnicos, metodologías o resultados en los certificados de calibración o medición, así como en la producción de materiales de referencia o métodos analíticos.</t>
  </si>
  <si>
    <t>Consiste en la posibilidad de que por acción u omisión se altere de manera intencional un certificado de calibración, material de referencia para cumplir con especificaciones solicitadas por un cliente, pese a no haber superado las pruebas requeridas. Validación de un método analítico incompleto o no validado adecuadamente, bajo presión de un proveedor que busca entrar al mercado más rápido.
Acción u omisión:  Por acción, alterar intencionalmente los datos del certificado o aprobar un método analítico sin validar adecuadamente. Emitir certificados con valores ajustados que no corresponden a los datos reales obtenidos durante el proceso técnico.
Omisión por no realizar las pruebas necesarias o no verificar la validez de los métodos antes de aprobarlos.
No reportar irregularidades detectadas en los resultados, permitiendo su emisión sin corrección.
Uso del Poder: Por parte del personal involucrado en el proceso de calibración o medición con acceso exclusivo utiliza su posición para alterar resultados a cambio de incentivos"; "Un revisor de los certificados e informes influye en el personal técnico para que modifiquen los resultados, justificando la acción como un "favor" o bajo presión jerárquica"; "El personal con potestad para firmar certificados aprueba documentos alterados, utilizando su autoridad para legitimar los datos.".
Desviar la gestión de lo público: Comprometer los recursos y procesos del laboratorio al emitir resultados no confiables, desviándose de las funciones legítimas del laboratorio y afectando su credibilidad.
Uso del Poder: Los recursos del laboratorio, destinados a garantizar la calidad y confiabilidad de las mediciones, se desvían para beneficiar intereses privados; se compromete la integridad del servicio público al emitir resultados que no cumplen con los estándares establecidos, o aprobar métodos no validados, afectando la credibilidad del INM; el tiempo del personal se redirigen hacia actividades no alineadas con los objetivos, como cumplir con peticiones personales o favorecer a un cliente específico".
Beneficio privado: Recibir dádivas o beneficios, como dinero, regalos o favores, a cambio de emitir un certificado alterado o aprobar un método analítico sin validación adecuada.</t>
  </si>
  <si>
    <t>Certificados de calibración o medición
Datos técnicos brutos
Registros de mantenimiento y calibración de equipos
Datos de clientes
Políticas y procedimientos internos</t>
  </si>
  <si>
    <t>Intereses particulares (dádivas, amiguismo, clientelismo)
Entorno normativo débil
Presión de clientes o terceros
Competencia desleal
Falta de sanciones visibles</t>
  </si>
  <si>
    <t>* Intereses particulares
* Proceso, documentación y controles
* Tecnológicos, aplicativos
* Ausencia de controles automatizados
* Ética en la función pública
* Presión interna por resultados.
* Falta de supervisión del personal.
* Falta de capacitación
* Acceso indiscriminado a datos e información.
* Ausencia de sistemas de denuncia
* Carencia de auditorías internas frecuentes</t>
  </si>
  <si>
    <t xml:space="preserve">Alteración de datos en los certificados
Falsificación de certificados
Acceso no autorizado
Modificación de datos originales
Pérdida o eliminación de datos
Sustracción de información técnica
Fallas de ciberseguridad
Destrucción intencionada de registros
Robo de información confidencial
Acceso indebido por tercero a la información </t>
  </si>
  <si>
    <t>Falta de ética profesional
Presiones indebidas hacia el cambio en los  resultados
Falta de capacitación
Debilidades en la supervisión
Acceso sin control
Inexistencia de sanciones claras
Presión de clientes o proveedores
Falta de controles internos</t>
  </si>
  <si>
    <t xml:space="preserve">Daño a la imagen del INM como institución confiable y transparente.
Pérdida de credibilidad y reputación del INM.
Métodos analíticos defectuosos que generan resultados imprecisos.
Incremento de retrabajos y costos operativos.
Costos asociados a reparaciones, indemnizaciones o pérdida de clientes.
Sanciones económicas o legales por incumplimiento de normativas.
Cancelación de  certificaciones
Denuncias hacia el INM.
Sanciones legales
</t>
  </si>
  <si>
    <r>
      <rPr>
        <b/>
        <sz val="8"/>
        <color rgb="FF000000"/>
        <rFont val="Calibri"/>
        <scheme val="minor"/>
      </rPr>
      <t>Control 1</t>
    </r>
    <r>
      <rPr>
        <sz val="8"/>
        <color rgb="FF000000"/>
        <rFont val="Calibri"/>
        <scheme val="minor"/>
      </rPr>
      <t xml:space="preserve">: Revisión técnica de los resultados de calibración por parte de otro colaborador diferente a quien ejecuta la calibración. Trimestralmente se reportarán como seguimiento del presente control los casos en los cuales se identifiquen la posible materialización del riesgo.
</t>
    </r>
    <r>
      <rPr>
        <b/>
        <sz val="8"/>
        <color rgb="FF000000"/>
        <rFont val="Calibri"/>
        <scheme val="minor"/>
      </rPr>
      <t>Propósito</t>
    </r>
    <r>
      <rPr>
        <sz val="8"/>
        <color rgb="FF000000"/>
        <rFont val="Calibri"/>
        <scheme val="minor"/>
      </rPr>
      <t xml:space="preserve">: Identificar posibles anomalías en los resultados de calibración a través de la segregación de funciones.
</t>
    </r>
    <r>
      <rPr>
        <b/>
        <sz val="8"/>
        <color rgb="FF000000"/>
        <rFont val="Calibri"/>
        <scheme val="minor"/>
      </rPr>
      <t>Responsable</t>
    </r>
    <r>
      <rPr>
        <sz val="8"/>
        <color rgb="FF000000"/>
        <rFont val="Calibri"/>
        <scheme val="minor"/>
      </rPr>
      <t xml:space="preserve">: Personal competente autorizado para revisar y autorizar el certificado de calibración o informe de medición.
</t>
    </r>
    <r>
      <rPr>
        <b/>
        <sz val="8"/>
        <color rgb="FF000000"/>
        <rFont val="Calibri"/>
        <scheme val="minor"/>
      </rPr>
      <t xml:space="preserve">¿Cómo se realiza el control?: </t>
    </r>
    <r>
      <rPr>
        <sz val="8"/>
        <color rgb="FF000000"/>
        <rFont val="Calibri"/>
        <scheme val="minor"/>
      </rPr>
      <t xml:space="preserve">Hacer revisión técnica de los resultados de calibración por parte de otro colaborador diferente a quien ejecuta la calibración, tomando como base los numerales 7.2 y 7.3 del instructivo M-01-I-001 Elaboración y revisión de certificados e informes.
</t>
    </r>
    <r>
      <rPr>
        <b/>
        <sz val="8"/>
        <color rgb="FF000000"/>
        <rFont val="Calibri"/>
        <scheme val="minor"/>
      </rPr>
      <t>Periodicidad</t>
    </r>
    <r>
      <rPr>
        <sz val="8"/>
        <color rgb="FF000000"/>
        <rFont val="Calibri"/>
        <scheme val="minor"/>
      </rPr>
      <t xml:space="preserve">: Cada vez que se genere un certificado de calibración o informe medición. 
</t>
    </r>
    <r>
      <rPr>
        <b/>
        <sz val="8"/>
        <color rgb="FF000000"/>
        <rFont val="Calibri"/>
        <scheme val="minor"/>
      </rPr>
      <t>Evidencia</t>
    </r>
    <r>
      <rPr>
        <sz val="8"/>
        <color rgb="FF000000"/>
        <rFont val="Calibri"/>
        <scheme val="minor"/>
      </rPr>
      <t xml:space="preserve">: Registros de comentarios sobre el documento de calibración revisado. Reporte de los casos en los que se identifique posible materialización del riesgo. 
</t>
    </r>
    <r>
      <rPr>
        <b/>
        <sz val="8"/>
        <color rgb="FF000000"/>
        <rFont val="Calibri"/>
        <scheme val="minor"/>
      </rPr>
      <t>Desviaciones/Observaciones:</t>
    </r>
    <r>
      <rPr>
        <sz val="8"/>
        <color rgb="FF000000"/>
        <rFont val="Calibri"/>
        <scheme val="minor"/>
      </rPr>
      <t xml:space="preserve"> En el caso de identificar una manipulación de la información contenida en el certificado de calibración o informe de medición,  para un beneficio propio o de un tercero, se debe reportar según procedimiento de Conflictos de interés A-04-P-028.
</t>
    </r>
    <r>
      <rPr>
        <b/>
        <sz val="8"/>
        <color rgb="FF000000"/>
        <rFont val="Calibri"/>
        <scheme val="minor"/>
      </rPr>
      <t xml:space="preserve">Documentado: </t>
    </r>
    <r>
      <rPr>
        <sz val="8"/>
        <color rgb="FF000000"/>
        <rFont val="Calibri"/>
        <scheme val="minor"/>
      </rPr>
      <t>Instructivo M-01-I-001 Elaboración y revisión de certificados e informes.</t>
    </r>
  </si>
  <si>
    <t>Socializar los cambios aplicados al Instructivo M-01-I-001 Elaboración y revisión de certificados e informes, haciendo énfasis en la revisión adecuada de los resultados por personal diferente al que realiza la calibración o medición</t>
  </si>
  <si>
    <t>Evidencias de la Socialización</t>
  </si>
  <si>
    <t xml:space="preserve">Enlace de calidad de la SMF </t>
  </si>
  <si>
    <t>Certificados de calibración emitidos oportunamente cumpliendo con el tiempo pactado con el cliente, en la oferta de servicios publicada, para contribuir al aseguramiento de la calidad de los bienes y servicios que se producen y comercializan en Colombia
Nivel de satisfacción de los usuarios del servicio de calibración y medición de MR (Proceso A-08 Gestión de servicios metrológicos)</t>
  </si>
  <si>
    <r>
      <t xml:space="preserve">Consiste en la posibilidad de que por acción u omisión se altere de manera intencional un certificado de calibración, material de referencia para cumplir con especificaciones solicitadas por un cliente, pese a no haber superado las pruebas requeridas. Validación de un método analítico incompleto o no validado adecuadamente, bajo presión de un proveedor que busca entrar al mercado más rápido.
</t>
    </r>
    <r>
      <rPr>
        <b/>
        <sz val="8"/>
        <rFont val="Calibri"/>
        <family val="2"/>
        <scheme val="minor"/>
      </rPr>
      <t>Acción u omisión</t>
    </r>
    <r>
      <rPr>
        <sz val="8"/>
        <rFont val="Calibri"/>
        <family val="2"/>
        <scheme val="minor"/>
      </rPr>
      <t xml:space="preserve">:  Por acción, alterar intencionalmente los datos del certificado o aprobar un método analítico sin validar adecuadamente. Emitir certificados con valores ajustados que no corresponden a los datos reales obtenidos durante el proceso técnico.
Omisión por no realizar las pruebas necesarias o no verificar la validez de los métodos antes de aprobarlos.
No reportar irregularidades detectadas en los resultados, permitiendo su emisión sin corrección.
</t>
    </r>
    <r>
      <rPr>
        <b/>
        <sz val="8"/>
        <rFont val="Calibri"/>
        <family val="2"/>
        <scheme val="minor"/>
      </rPr>
      <t>Uso del Poder</t>
    </r>
    <r>
      <rPr>
        <sz val="8"/>
        <rFont val="Calibri"/>
        <family val="2"/>
        <scheme val="minor"/>
      </rPr>
      <t xml:space="preserve">: Por parte del personal involucrado en el proceso de calibración o medición con acceso exclusivo utiliza su posición para alterar resultados a cambio de incentivos"; "Un revisor de los certificados e informes influye en el personal técnico para que modifiquen los resultados, justificando la acción como un "favor" o bajo presión jerárquica"; "El personal con potestad para firmar certificados aprueba documentos alterados, utilizando su autoridad para legitimar los datos.".
</t>
    </r>
    <r>
      <rPr>
        <b/>
        <sz val="8"/>
        <rFont val="Calibri"/>
        <family val="2"/>
        <scheme val="minor"/>
      </rPr>
      <t>Desviar la gestión de lo público</t>
    </r>
    <r>
      <rPr>
        <sz val="8"/>
        <rFont val="Calibri"/>
        <family val="2"/>
        <scheme val="minor"/>
      </rPr>
      <t xml:space="preserve">: Comprometer los recursos y procesos del laboratorio al emitir resultados no confiables, desviándose de las funciones legítimas del laboratorio y afectando su credibilidad.
</t>
    </r>
    <r>
      <rPr>
        <b/>
        <sz val="8"/>
        <rFont val="Calibri"/>
        <family val="2"/>
        <scheme val="minor"/>
      </rPr>
      <t>Uso del Poder:</t>
    </r>
    <r>
      <rPr>
        <sz val="8"/>
        <rFont val="Calibri"/>
        <family val="2"/>
        <scheme val="minor"/>
      </rPr>
      <t xml:space="preserve"> Los recursos del laboratorio, destinados a garantizar la calidad y confiabilidad de las mediciones, se desvían para beneficiar intereses privados; se compromete la integridad del servicio público al emitir resultados que no cumplen con los estándares establecidos, o aprobar métodos no validados, afectando la credibilidad del INM; el tiempo del personal se redirigen hacia actividades no alineadas con los objetivos, como cumplir con peticiones personales o favorecer a un cliente específico".
</t>
    </r>
    <r>
      <rPr>
        <b/>
        <sz val="8"/>
        <rFont val="Calibri"/>
        <family val="2"/>
        <scheme val="minor"/>
      </rPr>
      <t xml:space="preserve">Beneficio privado: </t>
    </r>
    <r>
      <rPr>
        <sz val="8"/>
        <rFont val="Calibri"/>
        <family val="2"/>
        <scheme val="minor"/>
      </rPr>
      <t>Recibir dádivas o beneficios, como dinero, regalos o favores, a cambio de emitir un certificado alterado o aprobar un método analítico sin validación adecuada.</t>
    </r>
  </si>
  <si>
    <r>
      <rPr>
        <b/>
        <sz val="8"/>
        <color rgb="FF000000"/>
        <rFont val="Calibri"/>
        <scheme val="minor"/>
      </rPr>
      <t>Control 2</t>
    </r>
    <r>
      <rPr>
        <sz val="8"/>
        <color rgb="FF000000"/>
        <rFont val="Calibri"/>
        <scheme val="minor"/>
      </rPr>
      <t xml:space="preserve">: Aplicar la segregación de funciones en el personal de los laboratorios
</t>
    </r>
    <r>
      <rPr>
        <b/>
        <sz val="8"/>
        <color rgb="FF000000"/>
        <rFont val="Calibri"/>
        <scheme val="minor"/>
      </rPr>
      <t>Propósito</t>
    </r>
    <r>
      <rPr>
        <sz val="8"/>
        <color rgb="FF000000"/>
        <rFont val="Calibri"/>
        <scheme val="minor"/>
      </rPr>
      <t xml:space="preserve">: Garantizar que ninguna persona tenga control único sobre un proceso crítico.
</t>
    </r>
    <r>
      <rPr>
        <b/>
        <sz val="8"/>
        <color rgb="FF000000"/>
        <rFont val="Calibri"/>
        <scheme val="minor"/>
      </rPr>
      <t>¿Cómo se realiza el control?:</t>
    </r>
    <r>
      <rPr>
        <sz val="8"/>
        <color rgb="FF000000"/>
        <rFont val="Calibri"/>
        <scheme val="minor"/>
      </rPr>
      <t xml:space="preserve"> Se realizan las designaciones de roles separados para elaboración, validación, emisión y revisión de certificados, con personal competente autorizado tomando como base los lineamientos establecidos en el procedimiento A-04-P-002 MANTENIMIENTO Y DESARROLLO DE LAS COMPETENCIAS DEL PERSONAL TÉCNICO.
</t>
    </r>
    <r>
      <rPr>
        <b/>
        <sz val="8"/>
        <color rgb="FF000000"/>
        <rFont val="Calibri"/>
        <scheme val="minor"/>
      </rPr>
      <t>Responsable:</t>
    </r>
    <r>
      <rPr>
        <sz val="8"/>
        <color rgb="FF000000"/>
        <rFont val="Calibri"/>
        <scheme val="minor"/>
      </rPr>
      <t xml:space="preserve"> Subdirectores de los procesos misionales. 
</t>
    </r>
    <r>
      <rPr>
        <b/>
        <sz val="8"/>
        <color rgb="FF000000"/>
        <rFont val="Calibri"/>
        <scheme val="minor"/>
      </rPr>
      <t>Periodicidad:</t>
    </r>
    <r>
      <rPr>
        <sz val="8"/>
        <color rgb="FF000000"/>
        <rFont val="Calibri"/>
        <scheme val="minor"/>
      </rPr>
      <t xml:space="preserve"> Permanente. Por cada persona del laboratorio en el desarrollo de sus actividades. 
</t>
    </r>
    <r>
      <rPr>
        <b/>
        <sz val="8"/>
        <color rgb="FF000000"/>
        <rFont val="Calibri"/>
        <scheme val="minor"/>
      </rPr>
      <t>Evidencia</t>
    </r>
    <r>
      <rPr>
        <sz val="8"/>
        <color rgb="FF000000"/>
        <rFont val="Calibri"/>
        <scheme val="minor"/>
      </rPr>
      <t xml:space="preserve">: Registros de autorizaciones del personal para las actividades del laboratorio.
</t>
    </r>
    <r>
      <rPr>
        <b/>
        <sz val="8"/>
        <color rgb="FF000000"/>
        <rFont val="Calibri"/>
        <scheme val="minor"/>
      </rPr>
      <t>Desviaciones/observaciones</t>
    </r>
    <r>
      <rPr>
        <sz val="8"/>
        <color rgb="FF000000"/>
        <rFont val="Calibri"/>
        <scheme val="minor"/>
      </rPr>
      <t xml:space="preserve">: Si se detecta que no hay personal suficiente para las actividades el subdirector debe garantizar personal competente para realizar las actividades que sean diferentes.  
</t>
    </r>
    <r>
      <rPr>
        <b/>
        <sz val="8"/>
        <color rgb="FF000000"/>
        <rFont val="Calibri"/>
        <scheme val="minor"/>
      </rPr>
      <t xml:space="preserve">Documento: </t>
    </r>
    <r>
      <rPr>
        <sz val="8"/>
        <color rgb="FF000000"/>
        <rFont val="Calibri"/>
        <scheme val="minor"/>
      </rPr>
      <t xml:space="preserve">Procedimiento A-04-P-002 MANTENIMIENTO Y DESARROLLO DE LAS COMPETENCIAS DEL PERSONAL TÉCNICO y M-01-I-001 Elaboración y revisión de certificados e informes </t>
    </r>
  </si>
  <si>
    <t>No se investigan y resuelven oportunamente</t>
  </si>
  <si>
    <t xml:space="preserve">Control 3: Realizar la Declaración de Situaciones de Conflicto de Intereses 
Propósito: Asegurar la identificación y resolución de los potenciales conflictos de interés que puedan presentarse en el desarrollo de las actividades. 
Responsable: Personal que pueda verse involucrado en un posible conflicto de interés. 
Periodicidad: Cada vez que se genere una situación donde pueda verse involucrado en una situación de conflictos de interés. 
Evidencia: A-04-F-062 Declaración de Situaciones de Posibles conflictos de interés. 
Los registros de Declaración de Situaciones de Posibles conflictos de interés, estarán en la hoja de vida que es custodiada por la Coordinación de Gestión del Talento Humano, declaración de no conflicto de interés para los contratistas cargados en el SECOPII. 
Desviaciones/Observaciones: En el caso de identificar la materialización del riesgo para un conflicto de intereses,  y establecida la presunta veracidad de la información, ésta deberá remitirse al Secretario General con funciones de control disciplinario para lo de su competencia, de acuerdo con lo establecido en el procedimiento A-06-P-001 “Procesos Disciplinarios”.
Documentado: Procedimiento A-04-P-028 "Conflicto de interés." 
</t>
  </si>
  <si>
    <t>Control 4: Realizar sensibilizaciones  acerca de la aplicación del código de integridad.
Propósito: Sensibilizar al personal del INM sobre los parámetros mínimos de integridad que sean homogéneos, en el ser y obrar de los servidores públicos. 
Responsable: Coordinador de Gestión del Talento Humano 
Periodicidad: Según plan estratégico de gestión del talento humano. 
Evidencia: Registros de las sensibilizaciones. 
Desviaciones/Observaciones: El Coordinador de Gestión del Talento Humano, establecerá el sistema de seguimiento y evaluación de la implementación del Código de Integridad, con las actividades de la caja de herramientas dispuesto por la Función Pública, para garantizar su cumplimiento por parte de los servidores en el ejercicio de sus funciones.  
Documentado: Resolución 161 del 19 abril del 2020 "Por el cual se establece el Código de Integridad del Servicio Público en el Instituto Nacional de Metrología y se dictan otras disposiciones".</t>
  </si>
  <si>
    <t>Existe la posibilidad de que se presente que una persona, aprovechándose de su posición en el laboratorio, acepte o solicite beneficios personales, como dinero, regalos o favores o por presiones internas o externas, amiguismo, clientelismo, conflicto de interés,  para realizar servicios de calibración o medición que no están contemplados dentro del alcance oficial del laboratorio, que exceden la capacidad de la infraestructura existente, o que utilizan patrones no adecuados se presten servicios de calibración o medición, que por infraestructura favoreciendo los intereses de terceros.
Acción: Realizar servicios no autorizados o fuera del alcance oficial utilizando los recursos del laboratorio, sin cumplir con los estándares establecidos.
Omisión: No reportar estas prácticas indebidas a los responsables internos o externos del laboratorio.
Uso del poder: Abusar de la posición de autoridad o responsabilidad técnica para aprobar o ejecutar servicios que no están contemplados en las políticas y procedimientos establecidos.  Usar conocimiento especializado o acceso exclusivo a los recursos del laboratorio para ejecutar estas prácticas sin supervisión.
Desviar la gestión de lo público: Desviar el uso de los equipos, patrones, instalaciones y tiempo del laboratorio para atender solicitudes externas que no están alineadas con los objetivos y responsabilidades institucionales.
Beneficio privado: Obtener ventajas económicas, regalos, favores o cualquier tipo de beneficio personal al realizar servicios no autorizados. Favorecer intereses privados o personales a costa de los recursos públicos y de la misión institucional del laboratorio.</t>
  </si>
  <si>
    <t xml:space="preserve">Registros de servicios realizados (Incluyen hojas de trabajo, órdenes de servicio y certificados emitidos)
Alcance oficial del laboratorio
Listados de patrones e infraestructura
</t>
  </si>
  <si>
    <t xml:space="preserve">Intereses particulares (dádivas, amiguismo, clientelismo)
Presión de clientes externos
Normativas o controles insuficientes
Entorno competitivo desleal
</t>
  </si>
  <si>
    <t xml:space="preserve">Intereses particulares
Proceso, documentación y controles
Tecnológicos, aplicativos
Ética en la función pública
Deficiencias en la supervisión de personal 
Falta de capacitación
Procesos inadecuados
</t>
  </si>
  <si>
    <t xml:space="preserve">Alteración de registros de servicio
Acceso no autorizado a sistemas de información
Divulgación no autorizada de información
</t>
  </si>
  <si>
    <t>Presiones por externos para beneficios propios o de terceros debido a la ausencia de controles internos</t>
  </si>
  <si>
    <t>Pérdida de imagen institucional
Apertura de procesos disciplinarios
Impacto sobre los resultados de los servicios prestados para los clientes y posible afectación directa a la ciudadanía.
Denuncias hacia el INM.</t>
  </si>
  <si>
    <r>
      <rPr>
        <b/>
        <sz val="8"/>
        <color rgb="FF000000"/>
        <rFont val="Calibri"/>
        <scheme val="minor"/>
      </rPr>
      <t>Control 1</t>
    </r>
    <r>
      <rPr>
        <sz val="8"/>
        <color rgb="FF000000"/>
        <rFont val="Calibri"/>
        <scheme val="minor"/>
      </rPr>
      <t xml:space="preserve">: Elaborar ficha técnica del servicio
</t>
    </r>
    <r>
      <rPr>
        <b/>
        <sz val="8"/>
        <color rgb="FF000000"/>
        <rFont val="Calibri"/>
        <scheme val="minor"/>
      </rPr>
      <t>Propósito:</t>
    </r>
    <r>
      <rPr>
        <sz val="8"/>
        <color rgb="FF000000"/>
        <rFont val="Calibri"/>
        <scheme val="minor"/>
      </rPr>
      <t xml:space="preserve"> Evitar el desarrollo de productos o servicios que no cumplan requisitos.
</t>
    </r>
    <r>
      <rPr>
        <b/>
        <sz val="8"/>
        <color rgb="FF000000"/>
        <rFont val="Calibri"/>
        <scheme val="minor"/>
      </rPr>
      <t xml:space="preserve">Responsable: </t>
    </r>
    <r>
      <rPr>
        <sz val="8"/>
        <color rgb="FF000000"/>
        <rFont val="Calibri"/>
        <scheme val="minor"/>
      </rPr>
      <t xml:space="preserve">Profesionales técnicos.
</t>
    </r>
    <r>
      <rPr>
        <b/>
        <sz val="8"/>
        <color rgb="FF000000"/>
        <rFont val="Calibri"/>
        <scheme val="minor"/>
      </rPr>
      <t>¿Cómo se realiza el control?:</t>
    </r>
    <r>
      <rPr>
        <sz val="8"/>
        <color rgb="FF000000"/>
        <rFont val="Calibri"/>
        <scheme val="minor"/>
      </rPr>
      <t xml:space="preserve"> Establecer los requisitos legales, del cliente y demás necesidades establecidas en los A-08-F-016 Ficha Técnica Diseño de Nuevo Producto o Servicio y M-03-F-009 Necesidad de producción de materiales de referencia y E-02-F-042 Solicitud de Cambio. Siguiendo los lineamientos establecidos en el procedimiento A-08-P-003 DISEÑO Y DESARROLLO DE NUEVOS PRODUCTOS Y SERVICIOS. 
</t>
    </r>
    <r>
      <rPr>
        <b/>
        <sz val="8"/>
        <color rgb="FF000000"/>
        <rFont val="Calibri"/>
        <scheme val="minor"/>
      </rPr>
      <t>Periodicidad</t>
    </r>
    <r>
      <rPr>
        <sz val="8"/>
        <color rgb="FF000000"/>
        <rFont val="Calibri"/>
        <scheme val="minor"/>
      </rPr>
      <t xml:space="preserve">: Cada vez que se presente la necesidad de desarrollo de un servicio en el INM.
</t>
    </r>
    <r>
      <rPr>
        <b/>
        <sz val="8"/>
        <color rgb="FF000000"/>
        <rFont val="Calibri"/>
        <scheme val="minor"/>
      </rPr>
      <t>Evidencia</t>
    </r>
    <r>
      <rPr>
        <sz val="8"/>
        <color rgb="FF000000"/>
        <rFont val="Calibri"/>
        <scheme val="minor"/>
      </rPr>
      <t xml:space="preserve">: Registros de los formatos A-08-F-016 Ficha Técnica Diseño de Nuevo Producto o Servicio, M-03-F-009 Necesidad de producción de materiales de referencia y E-02-F-042 Solicitud de Cambio.
</t>
    </r>
    <r>
      <rPr>
        <b/>
        <sz val="8"/>
        <color rgb="FF000000"/>
        <rFont val="Calibri"/>
        <scheme val="minor"/>
      </rPr>
      <t>Desviaciones/observaciones</t>
    </r>
    <r>
      <rPr>
        <sz val="8"/>
        <color rgb="FF000000"/>
        <rFont val="Calibri"/>
        <scheme val="minor"/>
      </rPr>
      <t xml:space="preserve">: Al momento de presentar la propuesta del nuevo servicio, si se detecta que no hay aprobación por parte del EATC, se realizan los ajustes necesarios por parte del proceso para presentar nuevamente la propuesta ante esta instancia. La constancia de la aprobación o no de la misma, queda en el acta del EATC respectivo. 
</t>
    </r>
    <r>
      <rPr>
        <b/>
        <sz val="8"/>
        <color rgb="FF000000"/>
        <rFont val="Calibri"/>
        <scheme val="minor"/>
      </rPr>
      <t>Documento:</t>
    </r>
    <r>
      <rPr>
        <sz val="8"/>
        <color rgb="FF000000"/>
        <rFont val="Calibri"/>
        <scheme val="minor"/>
      </rPr>
      <t xml:space="preserve"> Procedimiento  A-08-P-003 DISEÑO Y DESARROLLO DE NUEVOS PRODUCTOS Y SERVICIOS</t>
    </r>
  </si>
  <si>
    <t xml:space="preserve">Actualizar el procedimiento de A-08-P-003 Diseño y Desarrollo de nuevos productos y servicios con los controles realizados por la MTTC y EATC; así como el procedimiento del E-02-P-007 Gestión del Cambio con los ajustes requeridos para gestionar los cambios en los servicios </t>
  </si>
  <si>
    <t xml:space="preserve">Actualización de los procedimientos </t>
  </si>
  <si>
    <t>Sebastián Gil
Yesid Pineda</t>
  </si>
  <si>
    <r>
      <rPr>
        <b/>
        <sz val="8"/>
        <color rgb="FF000000"/>
        <rFont val="Calibri"/>
        <scheme val="minor"/>
      </rPr>
      <t>Control 2</t>
    </r>
    <r>
      <rPr>
        <sz val="8"/>
        <color rgb="FF000000"/>
        <rFont val="Calibri"/>
        <scheme val="minor"/>
      </rPr>
      <t xml:space="preserve">: Revisión de la propuesta realizada por parte de los procesos misionales para el desarrollo de un servicio en el INM. 
</t>
    </r>
    <r>
      <rPr>
        <b/>
        <sz val="8"/>
        <color rgb="FF000000"/>
        <rFont val="Calibri"/>
        <scheme val="minor"/>
      </rPr>
      <t>Propósito:</t>
    </r>
    <r>
      <rPr>
        <sz val="8"/>
        <color rgb="FF000000"/>
        <rFont val="Calibri"/>
        <scheme val="minor"/>
      </rPr>
      <t xml:space="preserve"> Prevenir que se aprueben productos o servicios que no cumplan todas las fases previstas para el diseño y desarrollo.
</t>
    </r>
    <r>
      <rPr>
        <b/>
        <sz val="8"/>
        <color rgb="FF000000"/>
        <rFont val="Calibri"/>
        <scheme val="minor"/>
      </rPr>
      <t xml:space="preserve">Responsable: </t>
    </r>
    <r>
      <rPr>
        <sz val="8"/>
        <color rgb="FF000000"/>
        <rFont val="Calibri"/>
        <scheme val="minor"/>
      </rPr>
      <t>Integrantes del EATC.</t>
    </r>
    <r>
      <rPr>
        <b/>
        <sz val="8"/>
        <color rgb="FF000000"/>
        <rFont val="Calibri"/>
        <scheme val="minor"/>
      </rPr>
      <t xml:space="preserve"> 
¿Cómo se realiza el control?:</t>
    </r>
    <r>
      <rPr>
        <sz val="8"/>
        <color rgb="FF000000"/>
        <rFont val="Calibri"/>
        <scheme val="minor"/>
      </rPr>
      <t xml:space="preserve"> Una vez el proceso responsable ha elaborado una presentación ejecutiva con la justificación de la necesidad de servicio, el EATC, revisa la propuesta general con el fin de determinar que se cuenta con la capacidad de cumplir con los requisitos para el producto o servicio que se va a ofrecer y que este es pertinente, de acuerdo con la misionalidad del INM y su planeación estratégica.
</t>
    </r>
    <r>
      <rPr>
        <b/>
        <sz val="8"/>
        <color rgb="FF000000"/>
        <rFont val="Calibri"/>
        <scheme val="minor"/>
      </rPr>
      <t>Periodicidad</t>
    </r>
    <r>
      <rPr>
        <sz val="8"/>
        <color rgb="FF000000"/>
        <rFont val="Calibri"/>
        <scheme val="minor"/>
      </rPr>
      <t xml:space="preserve">: Cada vez que se presente la necesidad de servicio en el INM.
</t>
    </r>
    <r>
      <rPr>
        <b/>
        <sz val="8"/>
        <color rgb="FF000000"/>
        <rFont val="Calibri"/>
        <scheme val="minor"/>
      </rPr>
      <t>Evidencia</t>
    </r>
    <r>
      <rPr>
        <sz val="8"/>
        <color rgb="FF000000"/>
        <rFont val="Calibri"/>
        <scheme val="minor"/>
      </rPr>
      <t xml:space="preserve">: A-08-F-016 Ficha Técnica Diseño de Nuevo Producto o Servicio, E-02-F-005 Acta de Reunión y correo electrónico.
</t>
    </r>
    <r>
      <rPr>
        <b/>
        <sz val="8"/>
        <color rgb="FF000000"/>
        <rFont val="Calibri"/>
        <scheme val="minor"/>
      </rPr>
      <t>Desviaciones/observaciones</t>
    </r>
    <r>
      <rPr>
        <sz val="8"/>
        <color rgb="FF000000"/>
        <rFont val="Calibri"/>
        <scheme val="minor"/>
      </rPr>
      <t xml:space="preserve">: En caso de que el EATC no apruebe, se realizan los ajustes necesarios por parte del proceso para presentar nuevamente la propuesta ante esta instancia. La constancia de la aprobación o no de la misma, queda en el acta del EATC respectivo. 
</t>
    </r>
    <r>
      <rPr>
        <b/>
        <sz val="8"/>
        <color rgb="FF000000"/>
        <rFont val="Calibri"/>
        <scheme val="minor"/>
      </rPr>
      <t>Documento:</t>
    </r>
    <r>
      <rPr>
        <sz val="8"/>
        <color rgb="FF000000"/>
        <rFont val="Calibri"/>
        <scheme val="minor"/>
      </rPr>
      <t xml:space="preserve"> Acta del EATC, procedimiento  A-08-P-003 DISEÑO Y DESARROLLO DE NUEVOS PRODUCTOS Y SERVICIOS</t>
    </r>
  </si>
  <si>
    <r>
      <rPr>
        <b/>
        <sz val="8"/>
        <color rgb="FF000000"/>
        <rFont val="Calibri"/>
        <scheme val="minor"/>
      </rPr>
      <t>Control 3</t>
    </r>
    <r>
      <rPr>
        <sz val="8"/>
        <color rgb="FF000000"/>
        <rFont val="Calibri"/>
        <scheme val="minor"/>
      </rPr>
      <t xml:space="preserve">: Revisión de propuesta del CIGD.  
</t>
    </r>
    <r>
      <rPr>
        <b/>
        <sz val="8"/>
        <color rgb="FF000000"/>
        <rFont val="Calibri"/>
        <scheme val="minor"/>
      </rPr>
      <t xml:space="preserve">Propósito: </t>
    </r>
    <r>
      <rPr>
        <sz val="8"/>
        <color rgb="FF000000"/>
        <rFont val="Calibri"/>
        <scheme val="minor"/>
      </rPr>
      <t xml:space="preserve">Prevenir que no se oferten productos o servicios que no cumplan requisitos previstos
</t>
    </r>
    <r>
      <rPr>
        <b/>
        <sz val="8"/>
        <color rgb="FF000000"/>
        <rFont val="Calibri"/>
        <scheme val="minor"/>
      </rPr>
      <t xml:space="preserve">Responsable: </t>
    </r>
    <r>
      <rPr>
        <sz val="8"/>
        <color rgb="FF000000"/>
        <rFont val="Calibri"/>
        <scheme val="minor"/>
      </rPr>
      <t>Integrantes del CIGD.</t>
    </r>
    <r>
      <rPr>
        <b/>
        <sz val="8"/>
        <color rgb="FF000000"/>
        <rFont val="Calibri"/>
        <scheme val="minor"/>
      </rPr>
      <t xml:space="preserve"> 
¿Cómo se realiza el control?</t>
    </r>
    <r>
      <rPr>
        <sz val="8"/>
        <color rgb="FF000000"/>
        <rFont val="Calibri"/>
        <scheme val="minor"/>
      </rPr>
      <t xml:space="preserve">: Con base en la presentación y teniendo en cuenta el concepto dado por el EATC, el CIGD revisa el cumplimiento y resultado de la verificación y validación, que permita corroborar que el producto o servicio cumple su propósito previsto y su provisión segura y correcta.
</t>
    </r>
    <r>
      <rPr>
        <b/>
        <sz val="8"/>
        <color rgb="FF000000"/>
        <rFont val="Calibri"/>
        <scheme val="minor"/>
      </rPr>
      <t>Periodicidad</t>
    </r>
    <r>
      <rPr>
        <sz val="8"/>
        <color rgb="FF000000"/>
        <rFont val="Calibri"/>
        <scheme val="minor"/>
      </rPr>
      <t xml:space="preserve">: Cada vez que se presente la necesidad de servicio en el INM.
</t>
    </r>
    <r>
      <rPr>
        <b/>
        <sz val="8"/>
        <color rgb="FF000000"/>
        <rFont val="Calibri"/>
        <scheme val="minor"/>
      </rPr>
      <t>Evidencia</t>
    </r>
    <r>
      <rPr>
        <sz val="8"/>
        <color rgb="FF000000"/>
        <rFont val="Calibri"/>
        <scheme val="minor"/>
      </rPr>
      <t xml:space="preserve">: Acta del CIGD. 
</t>
    </r>
    <r>
      <rPr>
        <b/>
        <sz val="8"/>
        <color rgb="FF000000"/>
        <rFont val="Calibri"/>
        <scheme val="minor"/>
      </rPr>
      <t>Desviaciones/observaciones</t>
    </r>
    <r>
      <rPr>
        <sz val="8"/>
        <color rgb="FF000000"/>
        <rFont val="Calibri"/>
        <scheme val="minor"/>
      </rPr>
      <t xml:space="preserve">: En caso de que el CIGD no apruebe, se realizan los ajustes necesarios por parte del proceso para presentar nuevamente la propuesta ante esta instancia. La constancia de la aprobación o no de la misma, queda en el acta del CIGD respectivo. 
</t>
    </r>
    <r>
      <rPr>
        <b/>
        <sz val="8"/>
        <color rgb="FF000000"/>
        <rFont val="Calibri"/>
        <scheme val="minor"/>
      </rPr>
      <t>Documento:</t>
    </r>
    <r>
      <rPr>
        <sz val="8"/>
        <color rgb="FF000000"/>
        <rFont val="Calibri"/>
        <scheme val="minor"/>
      </rPr>
      <t xml:space="preserve"> Acta del CIGD, procedimiento A-08-P-003 DISEÑO Y DESARROLLO DE NUEVOS PRODUCTOS Y SERVICIOS</t>
    </r>
  </si>
  <si>
    <t>Se puede presentar cuando por presiones internas o externas, amiguismo, clientelismo, conflicto de interés por parte del director, subdirectores o coordinadores del INM, se omiten los resultados erróneos luego de la prestación servicios de calibración o medición internos para favorecer a alguno o varios de los laboratorios del INM de Colombia, generando así, un posible detrimento patrimonial del equipamiento de los laboratorios del INM de Colombia. 
Acción u omisión: Por acción manipular deliberadamente los resultados técnicos, datos o reportes entregados al cliente interno para favorecer a terceros o al propio.
Omitir los posibles resultados erróneos de la prestación de servicio de calibración o medición a un laboratorio del INM o no reportar presiones indebidas o solicitudes de manipulación por parte de colegas o superiores jerárquicos. 
Uso del Poder: Presiones internas o externas, amiguismo, clientelismo, conflicto de interés por parte del director, subdirectores o coordinadores del INM, utilizando la posición jerárquica, técnica o de acceso a la información crítica del laboratorio para condicionar los resultados que el cliente interno recibe y ejercer influencia indebida sobre los procesos técnicos, como auditorías internas, resultados de calibración o medición, para modificar sus resultados.
Desviar la gestión de lo público: Desviar el propósito de la labor técnica, que debe ser objetiva para satisfacer intereses personales o de terceros. Alterar resultados o informes técnicos en beneficio de un tercero, comprometiendo la transparencia del servicio público, posibilitando el detrimento patrimonial del equipamiento de los laboratorios del INM de Colombia. 
Beneficio privado: Obtener beneficios o ventajas personales como compensaciones económicas, regalos, ascensos laborales indebidos o favores a cambio de presionar o alterar resultados que deben ser objetivos; así como favorecer intereses privados o institucionales ajenos a la misión del INM, comprometiendo la confianza del cliente interno en los servicios brindados.</t>
  </si>
  <si>
    <t xml:space="preserve">Resultados técnicos e informes
Información confidencial sobre procedimientos de medición y calibración
Contratos y acuerdos con clientes internos
</t>
  </si>
  <si>
    <t xml:space="preserve">Intereses particulares (dádivas, amiguismo)
Intereses de terceros (proveedores, contratistas, clientes, partes interesadas, jefes, subdirector, coordinador)
Entorno regulatorio y de control débil
Competencia externa desleal
</t>
  </si>
  <si>
    <t xml:space="preserve">Intereses particulares
Ética en la función pública
Deficiencias en el liderazgo y supervisión de personal.
Cultura organizacional permisiva.
Falta de capacitación y sensibilización sobre ética laboral.
Rotación de personal o cambios en roles
</t>
  </si>
  <si>
    <t xml:space="preserve">Acceso no autorizado o manipulación de información.
Divulgación no autorizada de información confidencial.
Alteración de documentos y registros
</t>
  </si>
  <si>
    <t xml:space="preserve">Presiones por parte del director, subdirectores o coordinadores para beneficios propios o de terceros
Presiones externas para obtener resultados favorables
Relaciones informales o familiares dentro del laboratorio
</t>
  </si>
  <si>
    <t xml:space="preserve">Apertura de procesos disciplinarios
Impacto sobre los resultados de los servicios prestados para los clientes internos y posible afectación directa sobre el equipamiento del INM de Colombia.
Denuncias hacia el INM.
Perdida de integridad y confianza
Daño a la calidad de los servicios
Impacto legal y regulatorio
Detrimento patrimonial
</t>
  </si>
  <si>
    <r>
      <rPr>
        <b/>
        <sz val="8"/>
        <color rgb="FF000000"/>
        <rFont val="Calibri"/>
        <family val="2"/>
        <scheme val="minor"/>
      </rPr>
      <t>Control 1</t>
    </r>
    <r>
      <rPr>
        <sz val="8"/>
        <color rgb="FF000000"/>
        <rFont val="Calibri"/>
        <family val="2"/>
        <scheme val="minor"/>
      </rPr>
      <t xml:space="preserve">: Aplicar el procedimiento A-04-P-028 conflicto de intereses. 
</t>
    </r>
    <r>
      <rPr>
        <b/>
        <sz val="8"/>
        <color rgb="FF000000"/>
        <rFont val="Calibri"/>
        <family val="2"/>
        <scheme val="minor"/>
      </rPr>
      <t xml:space="preserve">Responsable: </t>
    </r>
    <r>
      <rPr>
        <sz val="8"/>
        <color rgb="FF000000"/>
        <rFont val="Calibri"/>
        <family val="2"/>
        <scheme val="minor"/>
      </rPr>
      <t xml:space="preserve">Personal del laboratorio. 
</t>
    </r>
    <r>
      <rPr>
        <b/>
        <sz val="8"/>
        <color rgb="FF000000"/>
        <rFont val="Calibri"/>
        <family val="2"/>
        <scheme val="minor"/>
      </rPr>
      <t>Propósito del control:</t>
    </r>
    <r>
      <rPr>
        <sz val="8"/>
        <color rgb="FF000000"/>
        <rFont val="Calibri"/>
        <family val="2"/>
        <scheme val="minor"/>
      </rPr>
      <t xml:space="preserve"> Asegurar que el personal del laboratorio se encuentre libre de presiones indebidas que puedan comprometer la imparcialidad de los resultados de un servicio de calibración o medición interno. 
</t>
    </r>
    <r>
      <rPr>
        <b/>
        <sz val="8"/>
        <color rgb="FF000000"/>
        <rFont val="Calibri"/>
        <family val="2"/>
        <scheme val="minor"/>
      </rPr>
      <t xml:space="preserve">¿Cómo se realiza el control? </t>
    </r>
    <r>
      <rPr>
        <sz val="8"/>
        <color rgb="FF000000"/>
        <rFont val="Calibri"/>
        <family val="2"/>
        <scheme val="minor"/>
      </rPr>
      <t xml:space="preserve"> Aplicar el procedimiento A-04-P-028 conflicto de intereses, cuando el personal del laboratorio es presionado por un superior jerárquico para manipular los resultados de un servicio de calibración o medición de otro laboratorio o área del INM. 
</t>
    </r>
    <r>
      <rPr>
        <b/>
        <sz val="8"/>
        <color rgb="FF000000"/>
        <rFont val="Calibri"/>
        <family val="2"/>
        <scheme val="minor"/>
      </rPr>
      <t>Acciones sobre desviaciones:</t>
    </r>
    <r>
      <rPr>
        <sz val="8"/>
        <color rgb="FF000000"/>
        <rFont val="Calibri"/>
        <family val="2"/>
        <scheme val="minor"/>
      </rPr>
      <t xml:space="preserve"> En caso de que se presente presiones indebidas por parte de un superior jerárquico del personal del laboratorio y no se aplique el procedimiento A-04-P-028, poner en conocimiento de las instancias pertinentes del INM. .  
</t>
    </r>
    <r>
      <rPr>
        <b/>
        <sz val="8"/>
        <color rgb="FF000000"/>
        <rFont val="Calibri"/>
        <family val="2"/>
        <scheme val="minor"/>
      </rPr>
      <t>Periodicidad:</t>
    </r>
    <r>
      <rPr>
        <sz val="8"/>
        <color rgb="FF000000"/>
        <rFont val="Calibri"/>
        <family val="2"/>
        <scheme val="minor"/>
      </rPr>
      <t xml:space="preserve"> Cada vez que se presente el caso de presión indebida que pueda afectar la imparcialidad en la entrega de los resultados de un servicio de calibración o medición interno. 
</t>
    </r>
    <r>
      <rPr>
        <b/>
        <sz val="8"/>
        <color rgb="FF000000"/>
        <rFont val="Calibri"/>
        <family val="2"/>
        <scheme val="minor"/>
      </rPr>
      <t xml:space="preserve">Documento: </t>
    </r>
    <r>
      <rPr>
        <sz val="8"/>
        <color rgb="FF000000"/>
        <rFont val="Calibri"/>
        <family val="2"/>
        <scheme val="minor"/>
      </rPr>
      <t xml:space="preserve">A-04-P-028 CONFLICTO DE INTERESES
</t>
    </r>
    <r>
      <rPr>
        <b/>
        <sz val="8"/>
        <color rgb="FF000000"/>
        <rFont val="Calibri"/>
        <family val="2"/>
        <scheme val="minor"/>
      </rPr>
      <t>Evidencia</t>
    </r>
    <r>
      <rPr>
        <sz val="8"/>
        <color rgb="FF000000"/>
        <rFont val="Calibri"/>
        <family val="2"/>
        <scheme val="minor"/>
      </rPr>
      <t>: Registro del A-04-F-002  RECUSACIÓN POR CONFLICTO DE INTERÉS</t>
    </r>
  </si>
  <si>
    <t>Indirectamente</t>
  </si>
  <si>
    <t xml:space="preserve">Realizar un taller de aplicación del documento de Conflictos de Interés </t>
  </si>
  <si>
    <t xml:space="preserve">Evidencias del Taller de aplicación </t>
  </si>
  <si>
    <t>Profesional de GTH</t>
  </si>
  <si>
    <r>
      <rPr>
        <b/>
        <sz val="8"/>
        <color rgb="FF000000"/>
        <rFont val="Calibri"/>
        <scheme val="minor"/>
      </rPr>
      <t>Control 2:</t>
    </r>
    <r>
      <rPr>
        <sz val="8"/>
        <color rgb="FF000000"/>
        <rFont val="Calibri"/>
        <scheme val="minor"/>
      </rPr>
      <t xml:space="preserve"> Usar los mecanismos de denuncia internos. canal de denuncia segura.
</t>
    </r>
    <r>
      <rPr>
        <b/>
        <sz val="8"/>
        <color rgb="FF000000"/>
        <rFont val="Calibri"/>
        <scheme val="minor"/>
      </rPr>
      <t>Propósito del control</t>
    </r>
    <r>
      <rPr>
        <sz val="8"/>
        <color rgb="FF000000"/>
        <rFont val="Calibri"/>
        <scheme val="minor"/>
      </rPr>
      <t xml:space="preserve">: Poder realizar libremente denuncias sobre posibles hechos de corrupción al interior de la entidad.
</t>
    </r>
    <r>
      <rPr>
        <b/>
        <sz val="8"/>
        <color rgb="FF000000"/>
        <rFont val="Calibri"/>
        <scheme val="minor"/>
      </rPr>
      <t>Responsable</t>
    </r>
    <r>
      <rPr>
        <sz val="8"/>
        <color rgb="FF000000"/>
        <rFont val="Calibri"/>
        <scheme val="minor"/>
      </rPr>
      <t xml:space="preserve">: Profesional designado como Oficial de transparencia INM.
</t>
    </r>
    <r>
      <rPr>
        <b/>
        <sz val="8"/>
        <color rgb="FF000000"/>
        <rFont val="Calibri"/>
        <scheme val="minor"/>
      </rPr>
      <t>¿Cómo se realiza el control?:</t>
    </r>
    <r>
      <rPr>
        <sz val="8"/>
        <color rgb="FF000000"/>
        <rFont val="Calibri"/>
        <scheme val="minor"/>
      </rPr>
      <t xml:space="preserve"> Usando los mecanismos de denuncia que se soportan en el canal de denuncia segura.
</t>
    </r>
    <r>
      <rPr>
        <b/>
        <sz val="8"/>
        <color rgb="FF000000"/>
        <rFont val="Calibri"/>
        <scheme val="minor"/>
      </rPr>
      <t>Periodicidad:</t>
    </r>
    <r>
      <rPr>
        <sz val="8"/>
        <color rgb="FF000000"/>
        <rFont val="Calibri"/>
        <scheme val="minor"/>
      </rPr>
      <t xml:space="preserve"> Cada vez que se presente la denuncia
Evidencia: Registro de la denuncia en la herramienta informática definida por INM para tal fin.
</t>
    </r>
    <r>
      <rPr>
        <b/>
        <sz val="8"/>
        <color rgb="FF000000"/>
        <rFont val="Calibri"/>
        <scheme val="minor"/>
      </rPr>
      <t>Acciones sobre desviaciones:</t>
    </r>
    <r>
      <rPr>
        <sz val="8"/>
        <color rgb="FF000000"/>
        <rFont val="Calibri"/>
        <scheme val="minor"/>
      </rPr>
      <t xml:space="preserve"> Se tiene a disposición un canal telefónico y un correo electrónico exclusivo de tal forma que se garantice la atención continua en caso de fallo de alguno de los canales. En caso de grabaciones del canal telefónico, se hace notificación automática al correo electrónico profesional designado.
</t>
    </r>
    <r>
      <rPr>
        <b/>
        <sz val="8"/>
        <color rgb="FF000000"/>
        <rFont val="Calibri"/>
        <scheme val="minor"/>
      </rPr>
      <t>Evidencia:</t>
    </r>
    <r>
      <rPr>
        <sz val="8"/>
        <color rgb="FF000000"/>
        <rFont val="Calibri"/>
        <scheme val="minor"/>
      </rPr>
      <t xml:space="preserve"> Proceso que se lleve a cabo. 
</t>
    </r>
    <r>
      <rPr>
        <b/>
        <sz val="8"/>
        <color rgb="FF000000"/>
        <rFont val="Calibri"/>
        <scheme val="minor"/>
      </rPr>
      <t xml:space="preserve">Documentado: </t>
    </r>
    <r>
      <rPr>
        <sz val="8"/>
        <color rgb="FF000000"/>
        <rFont val="Calibri"/>
        <scheme val="minor"/>
      </rPr>
      <t xml:space="preserve">RESOLUCIÓN NÚMERO 383 del 25 DE SEPTIEMBRE 2020 “Por la cual se vincula al INM a la Red Interinstitucional de Transparencia y Anticorrupción – RITA, se adopta el manual base y se hace una designación como Oficial de Transparencia”
</t>
    </r>
  </si>
  <si>
    <t>No disminuye</t>
  </si>
  <si>
    <t xml:space="preserve">Socializar al personal de los laboratorios de la SMF sobre los canales de denuncia seguros con los que cuenta el INM de Colombia. Lo anterior con el fin de se tenga el conocimiento sobre dichos canales y la gestión correspondiente. </t>
  </si>
  <si>
    <t xml:space="preserve">Registro de asistencia a la socialización 
Evaluación de conocimientos de la socialización. </t>
  </si>
  <si>
    <t>Asesor Jurídico de la Dirección 
Profesional de GTH</t>
  </si>
  <si>
    <t>Existe la posibilidad de que una persona, aprovechándose de su posición en el laboratorio, acepte o solicite beneficios personales, como dinero, regalos o favores, a cambio de compartir o utilizar información técnica del laboratorio, como especificaciones de equipos, procedimientos de calibración, resultados de medición, o datos sensibles, para beneficiar intereses particulares o de terceros en detrimento de la misión institucional y los recursos públicos.
Acción u omisión: Por acción compartir deliberadamente información técnica reservada o confidencial del laboratorio con personas externas o utilizarla para favorecer intereses privados.
Por omisión no reportar el uso indebido o acceso no autorizado a información técnica por parte de terceros o compañeros de trabajo.
Uso del Poder: Aprovechar la posición de acceso privilegiado a información técnica y sensible para obtener beneficios personales o para facilitar el acceso de terceros a dicha información.  Utilizar el conocimiento especializado del laboratorio para justificar el uso indebido de la información frente a controles débiles.
Desviar la gestión de lo público: Desviar el propósito de los recursos públicos destinados a generar y proteger información técnica para favorecer intereses personales o de terceros.  Utilizar información técnica reservada para influir en decisiones externas que beneficien o favorezcan intereses particulares a externos el acceder a esta información.
Beneficio privado:  Obtener beneficios económicos, ventajas competitivas, o cualquier tipo de favor a cambio de divulgar o usar indebidamente la información técnica.</t>
  </si>
  <si>
    <t xml:space="preserve">Registros de información sensible de los clientes.
Bases de datos y sistemas de gestión de resultados de los datos del equipamiento del cliente.
Contratos y acuerdos con clientes	 
</t>
  </si>
  <si>
    <t xml:space="preserve">Intereses particulares (dádivas, amiguismo, clientelismo)
Presiones de clientes externos o de competidores.
Condiciones de mercado competitivas.
Ambiente regulatorio débil o falta de supervisión de personal .
</t>
  </si>
  <si>
    <t xml:space="preserve">Presiones indebidas de los colaboradores del INM de Colombia. 
Cultura organizacional permisiva
Deficiencias en los sistemas de control interno
Falta de capacitación en ética profesional
Falta de canales seguros para denunciar irregularidades 
</t>
  </si>
  <si>
    <t xml:space="preserve">Acceso no autorizado a información confidencial
Modificación de información técnica y resultados
Divulgación no autorizada de información confidencial 
</t>
  </si>
  <si>
    <t xml:space="preserve">
Divulgación no autorizada de información técnica
Uso indebido de información técnica para beneficio personal
Acceso no autorizado a información técnica
Falta de integridad y ética por parte del equipo de trabajo. 
Incumplimiento al código de ética por parte del colaborador . 
Violación de la confidencialidad</t>
  </si>
  <si>
    <r>
      <rPr>
        <b/>
        <sz val="8"/>
        <color rgb="FF000000"/>
        <rFont val="Calibri"/>
        <scheme val="minor"/>
      </rPr>
      <t>Control</t>
    </r>
    <r>
      <rPr>
        <sz val="8"/>
        <color rgb="FF000000"/>
        <rFont val="Calibri"/>
        <scheme val="minor"/>
      </rPr>
      <t xml:space="preserve">: Configuración de recursos compartidos 
</t>
    </r>
    <r>
      <rPr>
        <b/>
        <sz val="8"/>
        <color rgb="FF000000"/>
        <rFont val="Calibri"/>
        <scheme val="minor"/>
      </rPr>
      <t>Propósito:</t>
    </r>
    <r>
      <rPr>
        <sz val="8"/>
        <color rgb="FF000000"/>
        <rFont val="Calibri"/>
        <scheme val="minor"/>
      </rPr>
      <t xml:space="preserve"> Garantizar que solo los usuarios autorizados, con los permisos correspondientes, accedan a los recursos compartidos y sistemas de información sensibles de los laboratorios, limitando el acceso a información técnica y datos confidenciales según el rol o función del usuario (autorizados).
</t>
    </r>
    <r>
      <rPr>
        <b/>
        <sz val="8"/>
        <color rgb="FF000000"/>
        <rFont val="Calibri"/>
        <scheme val="minor"/>
      </rPr>
      <t xml:space="preserve">Responsable: </t>
    </r>
    <r>
      <rPr>
        <sz val="8"/>
        <color rgb="FF000000"/>
        <rFont val="Calibri"/>
        <scheme val="minor"/>
      </rPr>
      <t xml:space="preserve">Jefe o Subdirector del área
</t>
    </r>
    <r>
      <rPr>
        <b/>
        <sz val="8"/>
        <color rgb="FF000000"/>
        <rFont val="Calibri"/>
        <scheme val="minor"/>
      </rPr>
      <t>¿Cómo se realiza el control?:</t>
    </r>
    <r>
      <rPr>
        <sz val="8"/>
        <color rgb="FF000000"/>
        <rFont val="Calibri"/>
        <scheme val="minor"/>
      </rPr>
      <t xml:space="preserve"> El Jefe o Subdirector del área envía la solicitud de recursos compartidos que requieran las dependencias deberá hacerse a través del sistema GLPI para acceder a la información que se encuentra en carpetas de algunos de los servidores del INM y que puede ser compartida para lectura, escritura, o ambas, a fin de poder realizar un trabajo colaborativo entre los responsables de desarrollar las actividades en los laboratorios.
</t>
    </r>
    <r>
      <rPr>
        <b/>
        <sz val="8"/>
        <color rgb="FF000000"/>
        <rFont val="Calibri"/>
        <scheme val="minor"/>
      </rPr>
      <t xml:space="preserve">Periodicidad: </t>
    </r>
    <r>
      <rPr>
        <sz val="8"/>
        <color rgb="FF000000"/>
        <rFont val="Calibri"/>
        <scheme val="minor"/>
      </rPr>
      <t xml:space="preserve">Cada vez que se genere la necesidad de contar con la información por parte de los procesos. 
</t>
    </r>
    <r>
      <rPr>
        <b/>
        <sz val="8"/>
        <color rgb="FF000000"/>
        <rFont val="Calibri"/>
        <scheme val="minor"/>
      </rPr>
      <t>Evidencia</t>
    </r>
    <r>
      <rPr>
        <sz val="8"/>
        <color rgb="FF000000"/>
        <rFont val="Calibri"/>
        <scheme val="minor"/>
      </rPr>
      <t xml:space="preserve">: Sistema de Información GLPI
</t>
    </r>
    <r>
      <rPr>
        <b/>
        <sz val="8"/>
        <color rgb="FF000000"/>
        <rFont val="Calibri"/>
        <scheme val="minor"/>
      </rPr>
      <t>Desviaciones/observaciones:</t>
    </r>
    <r>
      <rPr>
        <sz val="8"/>
        <color rgb="FF000000"/>
        <rFont val="Calibri"/>
        <scheme val="minor"/>
      </rPr>
      <t xml:space="preserve"> Pendiente 
</t>
    </r>
    <r>
      <rPr>
        <b/>
        <sz val="8"/>
        <color rgb="FF000000"/>
        <rFont val="Calibri"/>
        <scheme val="minor"/>
      </rPr>
      <t xml:space="preserve">Documento:  </t>
    </r>
    <r>
      <rPr>
        <sz val="8"/>
        <color rgb="FF000000"/>
        <rFont val="Calibri"/>
        <scheme val="minor"/>
      </rPr>
      <t>E-05-I-010 CONFIGURACIÓN DE RECURSOS COMPARTIDOS</t>
    </r>
  </si>
  <si>
    <t>Revisar los procedimientos de contratos, asegurando que se suscriba la firma de la minuta donde se compromete con el clausulado de los compromisos del mismo</t>
  </si>
  <si>
    <t>Documentos revisados y actualizados</t>
  </si>
  <si>
    <t xml:space="preserve">Profesional de Gestión jurídica contractual </t>
  </si>
  <si>
    <t xml:space="preserve">Se puede presentar cada vez que se vaya a realizar producciones de Materiales de Referencia favoreciendo a terceros. 
Acción u omisión: Priorizar las producciones de los MR en la SMQB a favor de terceros
Uso del Poder: Valerse del cargo de poder para autorizar producciones que no satisfagan las necesidades del país. 
Desviar la gestión de lo público: se utilizarían recursos públicos para favorecer a terceros
Beneficio privado: Reducción de costos operativos porque se están utilizando recursos públicos dirigidos a privados. </t>
  </si>
  <si>
    <t xml:space="preserve"> Intereses particulares (dádivas, amiguismo, clientelismo)
Presiones indebidas</t>
  </si>
  <si>
    <t xml:space="preserve">Intereses particulares
Ética en la función pública
Falta de seguimiento a las producciones de materiales de referencia. </t>
  </si>
  <si>
    <t>Falta de ética profesional (recibir, solicitar contraprestaciones; amiguismo, clientelismo)
- Presión indebida</t>
  </si>
  <si>
    <t xml:space="preserve">Pérdida de imagen institucional 
Detrimento patrimonial </t>
  </si>
  <si>
    <r>
      <rPr>
        <b/>
        <sz val="10"/>
        <color rgb="FF000000"/>
        <rFont val="Verdana"/>
      </rPr>
      <t xml:space="preserve">Control 1: </t>
    </r>
    <r>
      <rPr>
        <sz val="10"/>
        <color rgb="FF000000"/>
        <rFont val="Verdana"/>
      </rPr>
      <t xml:space="preserve">Revisar la pertinencia de cada producción de MR para el país. 
</t>
    </r>
    <r>
      <rPr>
        <b/>
        <sz val="10"/>
        <color rgb="FF000000"/>
        <rFont val="Verdana"/>
      </rPr>
      <t>Propósito:</t>
    </r>
    <r>
      <rPr>
        <sz val="10"/>
        <color rgb="FF000000"/>
        <rFont val="Verdana"/>
      </rPr>
      <t xml:space="preserve"> Revisar la pertinencia de la producción de un MR para el país y que esté alineado a las metas del gobierno.   
</t>
    </r>
    <r>
      <rPr>
        <b/>
        <sz val="10"/>
        <color rgb="FF000000"/>
        <rFont val="Verdana"/>
      </rPr>
      <t xml:space="preserve">¿Cómo se realiza el control?: </t>
    </r>
    <r>
      <rPr>
        <sz val="10"/>
        <color rgb="FF000000"/>
        <rFont val="Verdana"/>
      </rPr>
      <t xml:space="preserve">En la reunión de la Mesa de Trabajo Técnico Científica se realiza la revisión y aprobación de las producciones. El subdirector junto con el equipo de trabajo evalúan la pertinencia y disponibilidad de recursos humanos y físicos mediante la asignación de un puntaje de 1 a 5 a cada uno de los componentes y se emite el concepto de viabilidad. 
</t>
    </r>
    <r>
      <rPr>
        <b/>
        <sz val="10"/>
        <color rgb="FF000000"/>
        <rFont val="Verdana"/>
      </rPr>
      <t>Periodicidad:</t>
    </r>
    <r>
      <rPr>
        <sz val="10"/>
        <color rgb="FF000000"/>
        <rFont val="Verdana"/>
      </rPr>
      <t xml:space="preserve"> Cada vez que se genere una propuesta de producción de MR producción de MR 
</t>
    </r>
    <r>
      <rPr>
        <b/>
        <sz val="10"/>
        <color rgb="FF000000"/>
        <rFont val="Verdana"/>
      </rPr>
      <t xml:space="preserve">Responsable: </t>
    </r>
    <r>
      <rPr>
        <strike/>
        <sz val="10"/>
        <color rgb="FF000000"/>
        <rFont val="Verdana"/>
      </rPr>
      <t>Los integrantes de la Mesa de Trabajo Técnico Científica</t>
    </r>
    <r>
      <rPr>
        <b/>
        <strike/>
        <sz val="10"/>
        <color rgb="FF000000"/>
        <rFont val="Verdana"/>
      </rPr>
      <t xml:space="preserve"> </t>
    </r>
    <r>
      <rPr>
        <b/>
        <sz val="10"/>
        <color rgb="FF000000"/>
        <rFont val="Verdana"/>
      </rPr>
      <t xml:space="preserve">Subdirectora
Evidencia: </t>
    </r>
    <r>
      <rPr>
        <strike/>
        <sz val="10"/>
        <color rgb="FF000000"/>
        <rFont val="Verdana"/>
      </rPr>
      <t>Actas de reunión de la mesa y el</t>
    </r>
    <r>
      <rPr>
        <sz val="10"/>
        <color rgb="FF000000"/>
        <rFont val="Verdana"/>
      </rPr>
      <t xml:space="preserve"> registro de formato M-03-F-009 de necesidad de producción.
</t>
    </r>
    <r>
      <rPr>
        <b/>
        <sz val="10"/>
        <color rgb="FF000000"/>
        <rFont val="Verdana"/>
      </rPr>
      <t xml:space="preserve">Desviaciones/Observaciones: </t>
    </r>
    <r>
      <rPr>
        <sz val="10"/>
        <color rgb="FF000000"/>
        <rFont val="Verdana"/>
      </rPr>
      <t xml:space="preserve"> Si la producción</t>
    </r>
    <r>
      <rPr>
        <strike/>
        <sz val="10"/>
        <color rgb="FF000000"/>
        <rFont val="Verdana"/>
      </rPr>
      <t xml:space="preserve"> presentada en la MTTC</t>
    </r>
    <r>
      <rPr>
        <sz val="10"/>
        <color rgb="FF000000"/>
        <rFont val="Verdana"/>
      </rPr>
      <t xml:space="preserve"> no es viable (por pertinencia), se da por terminada la actividad en esta instancia. 
</t>
    </r>
    <r>
      <rPr>
        <b/>
        <sz val="10"/>
        <color rgb="FF000000"/>
        <rFont val="Verdana"/>
      </rPr>
      <t>Documentado:</t>
    </r>
    <r>
      <rPr>
        <sz val="10"/>
        <color rgb="FF000000"/>
        <rFont val="Verdana"/>
      </rPr>
      <t xml:space="preserve"> M-03-P-001 Planeación, control y supervisión de la producción. </t>
    </r>
  </si>
  <si>
    <t xml:space="preserve">Revisar el procedimiento M-03-P-001 PLANEACIÓN, CONTROL Y SUPERVISIÓN DE LA PRODUCCIÓN DE MATERIALES DE REFERENCIA y la necesidad de actualizarlo. </t>
  </si>
  <si>
    <t>Evidencia de la revisión del procedimiento (puede ser correo electrónico, informe u otro método)</t>
  </si>
  <si>
    <t xml:space="preserve">Subdirector de la SMQB. </t>
  </si>
  <si>
    <t xml:space="preserve">Cumplimiento de las acciones planteadas en las supervisiones de producción y calidad </t>
  </si>
  <si>
    <r>
      <t xml:space="preserve">Control 2: </t>
    </r>
    <r>
      <rPr>
        <sz val="10"/>
        <color rgb="FF000000"/>
        <rFont val="Verdana"/>
        <family val="2"/>
      </rPr>
      <t xml:space="preserve">Supervisar la producción de materiales de referencia. 
</t>
    </r>
    <r>
      <rPr>
        <b/>
        <sz val="10"/>
        <color rgb="FF000000"/>
        <rFont val="Verdana"/>
        <family val="2"/>
      </rPr>
      <t>Propósito:</t>
    </r>
    <r>
      <rPr>
        <sz val="10"/>
        <color rgb="FF000000"/>
        <rFont val="Verdana"/>
        <family val="2"/>
      </rPr>
      <t xml:space="preserve"> Realizar la supervisión de la producción con el fin de verificar el cumplimiento de las actividades planeadas para cada producción. 
</t>
    </r>
    <r>
      <rPr>
        <b/>
        <sz val="10"/>
        <color rgb="FF000000"/>
        <rFont val="Verdana"/>
        <family val="2"/>
      </rPr>
      <t xml:space="preserve">¿Cómo se realiza el control?: </t>
    </r>
    <r>
      <rPr>
        <sz val="10"/>
        <color rgb="FF000000"/>
        <rFont val="Verdana"/>
        <family val="2"/>
      </rPr>
      <t xml:space="preserve">Verificar el cumplimiento de las actividades planeadas para cada producción de acuerdo con todos los requisitos y especificaciones establecidas. Se debe verificar que los registros asociados a la producción se encuentren protegidos para asegurar la integridad de la información. 
</t>
    </r>
    <r>
      <rPr>
        <b/>
        <sz val="10"/>
        <color rgb="FF000000"/>
        <rFont val="Verdana"/>
        <family val="2"/>
      </rPr>
      <t>Periodicidad</t>
    </r>
    <r>
      <rPr>
        <sz val="10"/>
        <color rgb="FF000000"/>
        <rFont val="Verdana"/>
        <family val="2"/>
      </rPr>
      <t xml:space="preserve">: Por cada producción de materiales de referencia.
</t>
    </r>
    <r>
      <rPr>
        <b/>
        <sz val="10"/>
        <color rgb="FF000000"/>
        <rFont val="Verdana"/>
        <family val="2"/>
      </rPr>
      <t xml:space="preserve">Responsable: </t>
    </r>
    <r>
      <rPr>
        <sz val="10"/>
        <color rgb="FF000000"/>
        <rFont val="Verdana"/>
        <family val="2"/>
      </rPr>
      <t xml:space="preserve">Supervisor asignado
</t>
    </r>
    <r>
      <rPr>
        <b/>
        <sz val="10"/>
        <color rgb="FF000000"/>
        <rFont val="Verdana"/>
        <family val="2"/>
      </rPr>
      <t xml:space="preserve">Evidencia: </t>
    </r>
    <r>
      <rPr>
        <sz val="10"/>
        <color rgb="FF000000"/>
        <rFont val="Verdana"/>
        <family val="2"/>
      </rPr>
      <t xml:space="preserve">El registro de formato M-03-F-011 Supervisión de la producción de MR
</t>
    </r>
    <r>
      <rPr>
        <b/>
        <sz val="10"/>
        <color rgb="FF000000"/>
        <rFont val="Verdana"/>
        <family val="2"/>
      </rPr>
      <t xml:space="preserve">Desviaciones/Observaciones: </t>
    </r>
    <r>
      <rPr>
        <sz val="10"/>
        <color rgb="FF000000"/>
        <rFont val="Verdana"/>
        <family val="2"/>
      </rPr>
      <t xml:space="preserve"> Es necesario que el supervisor de la producción, dé una calificación final a esta, la cual, se registra en la hoja "calificación producción".
</t>
    </r>
    <r>
      <rPr>
        <b/>
        <sz val="10"/>
        <color rgb="FF000000"/>
        <rFont val="Verdana"/>
        <family val="2"/>
      </rPr>
      <t>Documentado:</t>
    </r>
    <r>
      <rPr>
        <sz val="10"/>
        <color rgb="FF000000"/>
        <rFont val="Verdana"/>
        <family val="2"/>
      </rPr>
      <t xml:space="preserve"> M-03-P-001 PLANEACIÓN, CONTROL Y SUPERVISIÓN DE LA PRODUCCIÓN DE MATERIALES DE REFERENCIA</t>
    </r>
  </si>
  <si>
    <r>
      <t xml:space="preserve">Se puede presentar cuando un técnico del laboratorio utiliza reactivos adquiridos para un proyecto oficial en la preparación de análisis privados que ofrece a terceros, a cambio de una compensación económica. Al no registrar el consumo de estos reactivos, se generan pérdidas para el laboratorio y un beneficio indebido para el técnico.
</t>
    </r>
    <r>
      <rPr>
        <b/>
        <sz val="10"/>
        <rFont val="Verdana"/>
        <family val="2"/>
      </rPr>
      <t>Acción u omisión</t>
    </r>
    <r>
      <rPr>
        <sz val="10"/>
        <rFont val="Verdana"/>
        <family val="2"/>
      </rPr>
      <t xml:space="preserve">: Tomar deliberadamente materiales, insumos o reactivos del laboratorio para utilizarlos en actividades privadas, como proyectos personales o servicios a terceros.
Por omisión, no reportar el uso indebido de insumos o reactivos por parte del personal de los laboratorios o los coordinadores.
</t>
    </r>
    <r>
      <rPr>
        <b/>
        <sz val="10"/>
        <rFont val="Verdana"/>
        <family val="2"/>
      </rPr>
      <t>Uso del Poder</t>
    </r>
    <r>
      <rPr>
        <sz val="10"/>
        <rFont val="Verdana"/>
        <family val="2"/>
      </rPr>
      <t xml:space="preserve">: Abusar de la autoridad o posición jerárquica para acceder a recursos del laboratorio sin la debida autorización. Ejercer presión por parte del Subdirector y coordinador sobre el personal subordinado para que permita o facilite el uso indebido de materiales o insumos.
</t>
    </r>
    <r>
      <rPr>
        <b/>
        <sz val="10"/>
        <rFont val="Verdana"/>
        <family val="2"/>
      </rPr>
      <t>Desviar la gestión de lo público</t>
    </r>
    <r>
      <rPr>
        <sz val="10"/>
        <rFont val="Verdana"/>
        <family val="2"/>
      </rPr>
      <t xml:space="preserve">: Destinar recursos públicos (como reactivos o insumos para fines privados, desviando su uso de los objetivos institucionales del INM.  Priorizar actividades externas o personales utilizando los insumos adquiridos con fondos públicos.
</t>
    </r>
    <r>
      <rPr>
        <b/>
        <sz val="10"/>
        <rFont val="Verdana"/>
        <family val="2"/>
      </rPr>
      <t xml:space="preserve">Beneficio privado: </t>
    </r>
    <r>
      <rPr>
        <sz val="10"/>
        <rFont val="Verdana"/>
        <family val="2"/>
      </rPr>
      <t>Obtener beneficios económicos o no económicos mediante la utilización de los materiales del laboratorio para actividades privadas, como análisis, producción de materiales o prestación de servicios a terceros.  Evitar costos personales al utilizar reactivos o insumos del laboratorio en lugar de adquirirlos con recursos propios.</t>
    </r>
  </si>
  <si>
    <t>Intereses particulares (dádivas, amiguismo, clientelismo)
Presión de terceros
Normativa débil
Falta de supervisión del personal</t>
  </si>
  <si>
    <t>Falta de controles internos
Cultura organizacional
Falta de capacitación
Acceso no controlado</t>
  </si>
  <si>
    <t>Falta de formación sobre el manejo adecuado de recursos y las consecuencias legales y éticas de su uso indebido.
Desconocimiento o desinterés en los valores institucionales.
Falta de seguimiento regulares o revisiones detalladas del consumo de insumos.
Acceso sin controles a materiales e insumos sensibles o controlados.
No contar con lineamientos definidos para la gestión y uso de reactivos e insumos.
Dependencia de registros manuales que facilitan inconsistencias o fraudes.
Falta de claridad sobre los niveles de stock y consumo real.</t>
  </si>
  <si>
    <t>Pérdidas económicas
Deterioro de los insumos
Daño reputacional
Sanciones legales
Ineficiencia operativa</t>
  </si>
  <si>
    <r>
      <rPr>
        <b/>
        <sz val="10"/>
        <rFont val="Verdana"/>
        <family val="2"/>
      </rPr>
      <t xml:space="preserve">Control 1: </t>
    </r>
    <r>
      <rPr>
        <sz val="10"/>
        <rFont val="Verdana"/>
        <family val="2"/>
      </rPr>
      <t xml:space="preserve">Registro detallado de uso de insumos y reactivos
</t>
    </r>
    <r>
      <rPr>
        <b/>
        <sz val="10"/>
        <rFont val="Verdana"/>
        <family val="2"/>
      </rPr>
      <t>Propósito</t>
    </r>
    <r>
      <rPr>
        <sz val="10"/>
        <rFont val="Verdana"/>
        <family val="2"/>
      </rPr>
      <t xml:space="preserve">: Asegurar que todos los materiales se destinen exclusivamente a actividades institucionales.
</t>
    </r>
    <r>
      <rPr>
        <b/>
        <sz val="10"/>
        <rFont val="Verdana"/>
        <family val="2"/>
      </rPr>
      <t>¿Cómo se realiza el control?:</t>
    </r>
    <r>
      <rPr>
        <sz val="10"/>
        <rFont val="Verdana"/>
        <family val="2"/>
      </rPr>
      <t xml:space="preserve"> Implementación de un sistema manual o mediante un software destinado para tal fin, donde se registre el ingreso y egreso de insumos, materiales y reactivos, incluyendo responsables y propósito de uso.
</t>
    </r>
    <r>
      <rPr>
        <b/>
        <sz val="10"/>
        <rFont val="Verdana"/>
        <family val="2"/>
      </rPr>
      <t>Responsable</t>
    </r>
    <r>
      <rPr>
        <sz val="10"/>
        <rFont val="Verdana"/>
        <family val="2"/>
      </rPr>
      <t xml:space="preserve">: Profesional del laboratorio. 
</t>
    </r>
    <r>
      <rPr>
        <b/>
        <sz val="10"/>
        <rFont val="Verdana"/>
        <family val="2"/>
      </rPr>
      <t>Periodicidad:</t>
    </r>
    <r>
      <rPr>
        <sz val="10"/>
        <rFont val="Verdana"/>
        <family val="2"/>
      </rPr>
      <t xml:space="preserve"> Cada vez que haya un movimiento en el inventario.
</t>
    </r>
    <r>
      <rPr>
        <b/>
        <sz val="10"/>
        <rFont val="Verdana"/>
        <family val="2"/>
      </rPr>
      <t>Evidencia</t>
    </r>
    <r>
      <rPr>
        <sz val="10"/>
        <rFont val="Verdana"/>
        <family val="2"/>
      </rPr>
      <t xml:space="preserve">: M-03-F-035 Inventario reactivos, consumibles, material de vidrio, MR-MRC
</t>
    </r>
    <r>
      <rPr>
        <b/>
        <sz val="10"/>
        <rFont val="Verdana"/>
        <family val="2"/>
      </rPr>
      <t>Desviaciones/observaciones</t>
    </r>
    <r>
      <rPr>
        <sz val="10"/>
        <rFont val="Verdana"/>
        <family val="2"/>
      </rPr>
      <t xml:space="preserve">: De igual manera, si un elemento ya sea un reactivo, material de referencia o consumible, se descarta por alguna razón, se deberá ingresar la fecha cuando se dio de baja el material en el respectivo formato, o en su defecto informar vía correo electrónico al responsable del inventario, la disposición final del reactivo, MR, MRC, consumible o material de vidrio.
</t>
    </r>
    <r>
      <rPr>
        <b/>
        <sz val="10"/>
        <rFont val="Verdana"/>
        <family val="2"/>
      </rPr>
      <t>Documento:</t>
    </r>
    <r>
      <rPr>
        <sz val="10"/>
        <rFont val="Verdana"/>
        <family val="2"/>
      </rPr>
      <t xml:space="preserve"> M-03-I-008 Manejo de inventarios de reactivos, materiales y consumibles</t>
    </r>
  </si>
  <si>
    <t>Revisar la factibilidad de implementar un software para el manejo y gestión de los inventarios</t>
  </si>
  <si>
    <t xml:space="preserve">Informe técnico y de validación </t>
  </si>
  <si>
    <t>Julián Pulido</t>
  </si>
  <si>
    <r>
      <rPr>
        <sz val="10"/>
        <color rgb="FF000000"/>
        <rFont val="Verdana"/>
      </rPr>
      <t xml:space="preserve">Se puede presentar cuando un técnico del laboratorio utiliza reactivos adquiridos para un proyecto oficial en la preparación de análisis privados que ofrece a terceros, a cambio de una compensación económica. Al no registrar el consumo de estos reactivos, se generan pérdidas para el laboratorio y un beneficio indebido para el técnico.
</t>
    </r>
    <r>
      <rPr>
        <b/>
        <sz val="10"/>
        <color rgb="FF000000"/>
        <rFont val="Verdana"/>
      </rPr>
      <t>Acción u omisión</t>
    </r>
    <r>
      <rPr>
        <sz val="10"/>
        <color rgb="FF000000"/>
        <rFont val="Verdana"/>
      </rPr>
      <t xml:space="preserve">: Tomar deliberadamente materiales, insumos o reactivos del laboratorio para utilizarlos en actividades privadas, como proyectos personales o servicios a terceros.
Por omisión, no reportar el uso indebido de insumos o reactivos por parte del personal de los laboratorios o los coordinadores.
</t>
    </r>
    <r>
      <rPr>
        <b/>
        <sz val="10"/>
        <color rgb="FF000000"/>
        <rFont val="Verdana"/>
      </rPr>
      <t>Uso del Poder</t>
    </r>
    <r>
      <rPr>
        <sz val="10"/>
        <color rgb="FF000000"/>
        <rFont val="Verdana"/>
      </rPr>
      <t xml:space="preserve">: Abusar de la autoridad o posición jerárquica para acceder a recursos del laboratorio sin la debida autorización. Ejercer presión por parte del Subdirector y coordinador sobre el personal subordinado para que permita o facilite el uso indebido de materiales o insumos.
</t>
    </r>
    <r>
      <rPr>
        <b/>
        <sz val="10"/>
        <color rgb="FF000000"/>
        <rFont val="Verdana"/>
      </rPr>
      <t>Desviar la gestión de lo público</t>
    </r>
    <r>
      <rPr>
        <sz val="10"/>
        <color rgb="FF000000"/>
        <rFont val="Verdana"/>
      </rPr>
      <t xml:space="preserve">: Destinar recursos públicos (como reactivos o insumos para fines privados, desviando su uso de los objetivos institucionales del INM.  Priorizar actividades externas o personales utilizando los insumos adquiridos con fondos públicos.
</t>
    </r>
    <r>
      <rPr>
        <b/>
        <sz val="10"/>
        <color rgb="FF000000"/>
        <rFont val="Verdana"/>
      </rPr>
      <t xml:space="preserve">Beneficio privado: </t>
    </r>
    <r>
      <rPr>
        <sz val="10"/>
        <color rgb="FF000000"/>
        <rFont val="Verdana"/>
      </rPr>
      <t>Obtener beneficios económicos o no económicos mediante la utilización de los materiales del laboratorio para actividades privadas, como análisis, producción de materiales o prestación de servicios a terceros.  Evitar costos personales al utilizar reactivos o insumos del laboratorio en lugar de adquirirlos con recursos propios.</t>
    </r>
  </si>
  <si>
    <r>
      <rPr>
        <b/>
        <sz val="10"/>
        <color rgb="FF000000"/>
        <rFont val="Verdana"/>
      </rPr>
      <t>Control 2:</t>
    </r>
    <r>
      <rPr>
        <sz val="10"/>
        <color rgb="FF000000"/>
        <rFont val="Verdana"/>
      </rPr>
      <t xml:space="preserve"> Restricción de acceso a insumos y reactivos
</t>
    </r>
    <r>
      <rPr>
        <b/>
        <sz val="10"/>
        <color rgb="FF000000"/>
        <rFont val="Verdana"/>
      </rPr>
      <t>Propósito</t>
    </r>
    <r>
      <rPr>
        <sz val="10"/>
        <color rgb="FF000000"/>
        <rFont val="Verdana"/>
      </rPr>
      <t xml:space="preserve">: Limitar el acceso a materiales únicamente a personal autorizado.
</t>
    </r>
    <r>
      <rPr>
        <b/>
        <sz val="10"/>
        <color rgb="FF000000"/>
        <rFont val="Verdana"/>
      </rPr>
      <t>¿Cómo se realiza el control?:</t>
    </r>
    <r>
      <rPr>
        <sz val="10"/>
        <color rgb="FF000000"/>
        <rFont val="Verdana"/>
      </rPr>
      <t xml:space="preserve"> Uso de llaves para el acceso al área donde se almacenan materiales, el personal encargado de la entrada, almacenamiento y control de los reactivos, materiales de referencia y consumibles, es designada por el Subdirector de Metrología Química y Biología.
</t>
    </r>
    <r>
      <rPr>
        <b/>
        <sz val="10"/>
        <color rgb="FF000000"/>
        <rFont val="Verdana"/>
      </rPr>
      <t>Responsable</t>
    </r>
    <r>
      <rPr>
        <sz val="10"/>
        <color rgb="FF000000"/>
        <rFont val="Verdana"/>
      </rPr>
      <t xml:space="preserve">: Profesional del laboratorio asignado.
</t>
    </r>
    <r>
      <rPr>
        <b/>
        <sz val="10"/>
        <color rgb="FF000000"/>
        <rFont val="Verdana"/>
      </rPr>
      <t>Periodicidad</t>
    </r>
    <r>
      <rPr>
        <sz val="10"/>
        <color rgb="FF000000"/>
        <rFont val="Verdana"/>
      </rPr>
      <t xml:space="preserve">: Permanente.
</t>
    </r>
    <r>
      <rPr>
        <b/>
        <sz val="10"/>
        <color rgb="FF000000"/>
        <rFont val="Verdana"/>
      </rPr>
      <t>Evidencia</t>
    </r>
    <r>
      <rPr>
        <sz val="10"/>
        <color rgb="FF000000"/>
        <rFont val="Verdana"/>
      </rPr>
      <t xml:space="preserve">: Registros de accesos al área.
</t>
    </r>
    <r>
      <rPr>
        <b/>
        <sz val="10"/>
        <color rgb="FF000000"/>
        <rFont val="Verdana"/>
      </rPr>
      <t>Desviaciones/observaciones:</t>
    </r>
    <r>
      <rPr>
        <sz val="10"/>
        <color rgb="FF000000"/>
        <rFont val="Verdana"/>
      </rPr>
      <t xml:space="preserve"> No documentado 
</t>
    </r>
    <r>
      <rPr>
        <b/>
        <sz val="10"/>
        <color rgb="FF000000"/>
        <rFont val="Verdana"/>
      </rPr>
      <t>Documento</t>
    </r>
    <r>
      <rPr>
        <sz val="10"/>
        <color rgb="FF000000"/>
        <rFont val="Verdana"/>
      </rPr>
      <t>: M-03-I-008 Manejo de inventarios de reactivos, materiales y consumibles</t>
    </r>
  </si>
  <si>
    <t>Documentar el control que se requiere para fortalecer el acceso al almacén de reactivos y consumibles y determinar las posibles desviaciones</t>
  </si>
  <si>
    <t>Actualización del instructivo</t>
  </si>
  <si>
    <t>Pendiente por definir</t>
  </si>
  <si>
    <t>Se puede presentar al momento de vincular servidores públicos sin cumplimiento de requisitos relacionados con estudio y experiencia de acuerdo con lo establecido en el Manual de Funciones para cada perfil y sin la respectiva realización de exámenes de ingreso para identificar si es apto laboralmente para el cargo a desempeñar. Esto con el fin de favorecer intereses particulares o políticos. 
Acción u omisión: Vincular servidores públicos sin cumplimiento de requisitos relacionados con estudio y experiencia
Uso del Poder: Por parte de directivas INM y/o líder de proceso
Desviar la gestión de lo público: sin la respectiva realización de exámenes de ingreso para identificar si es apto laboralmente para el cargo a desempeñar.
Beneficio privado: Para favorecer intereses particulares o políticos</t>
  </si>
  <si>
    <t xml:space="preserve">Presión del personal directivo.
Desviación de los procedimientos. </t>
  </si>
  <si>
    <t>Intereses particulares.
Manipulación de información para beneficio de un tercero.
Diseño actual de la estructura de cargos y cargas laborales que no obedece a las exigencias establecidas en el PEI, FURAG, MIPG</t>
  </si>
  <si>
    <t>Personal con inadecuadas competencias.
No cumplimiento eficiente de funciones.
Incumplimiento de normatividad.
Investigación fiscal, penal, administrativa o disciplinaria.</t>
  </si>
  <si>
    <r>
      <rPr>
        <b/>
        <sz val="8"/>
        <color rgb="FF000000"/>
        <rFont val="Calibri"/>
        <scheme val="minor"/>
      </rPr>
      <t>Control 1</t>
    </r>
    <r>
      <rPr>
        <sz val="8"/>
        <color rgb="FF000000"/>
        <rFont val="Calibri"/>
        <scheme val="minor"/>
      </rPr>
      <t xml:space="preserve">: Validar documentos con entidades externas.
</t>
    </r>
    <r>
      <rPr>
        <b/>
        <sz val="8"/>
        <color rgb="FF000000"/>
        <rFont val="Calibri"/>
        <scheme val="minor"/>
      </rPr>
      <t>Responsable</t>
    </r>
    <r>
      <rPr>
        <sz val="8"/>
        <color rgb="FF000000"/>
        <rFont val="Calibri"/>
        <scheme val="minor"/>
      </rPr>
      <t xml:space="preserve">: Profesional de Talento Humano
</t>
    </r>
    <r>
      <rPr>
        <b/>
        <sz val="8"/>
        <color rgb="FF000000"/>
        <rFont val="Calibri"/>
        <scheme val="minor"/>
      </rPr>
      <t>¿Cómo se realiza el control?:</t>
    </r>
    <r>
      <rPr>
        <sz val="8"/>
        <color rgb="FF000000"/>
        <rFont val="Calibri"/>
        <scheme val="minor"/>
      </rPr>
      <t xml:space="preserve"> Valida la lista de chequeo con cada uno de los soportes físicos y contacta a cada una de las entidades de educación y empresas donde prestó sus servicios con el fin de confirmar la información allí registrada y que quede como mínimo validado los soportes que dan cumplimiento a los requisitos mínimos establecidos en el Manual de Funciones y Competencias Laborales.
</t>
    </r>
    <r>
      <rPr>
        <b/>
        <sz val="8"/>
        <color rgb="FF000000"/>
        <rFont val="Calibri"/>
        <scheme val="minor"/>
      </rPr>
      <t>Propósito</t>
    </r>
    <r>
      <rPr>
        <sz val="8"/>
        <color rgb="FF000000"/>
        <rFont val="Calibri"/>
        <scheme val="minor"/>
      </rPr>
      <t xml:space="preserve">: Asegurar que el aspirante cumpla con el perfil del cargo.
</t>
    </r>
    <r>
      <rPr>
        <b/>
        <sz val="8"/>
        <color rgb="FF000000"/>
        <rFont val="Calibri"/>
        <scheme val="minor"/>
      </rPr>
      <t>Periodicidad</t>
    </r>
    <r>
      <rPr>
        <sz val="8"/>
        <color rgb="FF000000"/>
        <rFont val="Calibri"/>
        <scheme val="minor"/>
      </rPr>
      <t xml:space="preserve">: Cada vez que ingresa un colaborador a la planta de personal del INM. 
</t>
    </r>
    <r>
      <rPr>
        <b/>
        <sz val="8"/>
        <color rgb="FF000000"/>
        <rFont val="Calibri"/>
        <scheme val="minor"/>
      </rPr>
      <t>Desviaciones/observaciones</t>
    </r>
    <r>
      <rPr>
        <sz val="8"/>
        <color rgb="FF000000"/>
        <rFont val="Calibri"/>
        <scheme val="minor"/>
      </rPr>
      <t xml:space="preserve">:  Si los documentos no están completos o hay incoherencias en la información, comunica la situación al aspirante para que realice los ajustes del caso.
Si el candidato no completa o rectifica la información se finaliza el proceso y regresa a la actividad 5.
</t>
    </r>
    <r>
      <rPr>
        <b/>
        <sz val="8"/>
        <color rgb="FF000000"/>
        <rFont val="Calibri"/>
        <scheme val="minor"/>
      </rPr>
      <t>Evidencia</t>
    </r>
    <r>
      <rPr>
        <sz val="8"/>
        <color rgb="FF000000"/>
        <rFont val="Calibri"/>
        <scheme val="minor"/>
      </rPr>
      <t xml:space="preserve">: A-04-F-018 Lista de chequeo para documentos en trámite de vinculación, E-02-F-011 Modelo de Informe (Entrevistas Gerentes públicos), A-04-F-012 Estudio de Cumplimiento de Requisitos para otorgamiento de Nombramiento Provisional y/o de Libre Nombramiento y Remoción. (Incluir el nombre acorde con la actualización), 
</t>
    </r>
    <r>
      <rPr>
        <b/>
        <sz val="8"/>
        <color rgb="FF000000"/>
        <rFont val="Calibri"/>
        <scheme val="minor"/>
      </rPr>
      <t>Documento</t>
    </r>
    <r>
      <rPr>
        <sz val="8"/>
        <color rgb="FF000000"/>
        <rFont val="Calibri"/>
        <scheme val="minor"/>
      </rPr>
      <t>: Procedimiento  A-04-P-005 SELECCIÓN, VINCULACIÓN Y PERMANENCIA DE PERSONAL.</t>
    </r>
  </si>
  <si>
    <t>Revisar y actualizar el procedimiento A-04-P-005 SELECCIÓN, VINCULACIÓN Y PERMANENCIA DE PERSONAL, haciendo la inclusión de la actividad a ejecutar y respectiva evidencia desde el proceso de gestión de talento humano cuando una persona aspirante como provisional no cumple con los requisitos.</t>
  </si>
  <si>
    <t xml:space="preserve">Procedimiento actualizado y aprobado </t>
  </si>
  <si>
    <t>Profesional especializado Grado 18</t>
  </si>
  <si>
    <t>Gestión de nómina</t>
  </si>
  <si>
    <r>
      <rPr>
        <b/>
        <sz val="8"/>
        <rFont val="Calibri"/>
        <family val="2"/>
        <scheme val="minor"/>
      </rPr>
      <t>Control 2:</t>
    </r>
    <r>
      <rPr>
        <sz val="8"/>
        <rFont val="Calibri"/>
        <family val="2"/>
        <scheme val="minor"/>
      </rPr>
      <t xml:space="preserve"> Diligenciar cumplimiento de requisitos.
</t>
    </r>
    <r>
      <rPr>
        <b/>
        <sz val="8"/>
        <rFont val="Calibri"/>
        <family val="2"/>
        <scheme val="minor"/>
      </rPr>
      <t>Responsable:</t>
    </r>
    <r>
      <rPr>
        <sz val="8"/>
        <rFont val="Calibri"/>
        <family val="2"/>
        <scheme val="minor"/>
      </rPr>
      <t xml:space="preserve"> Profesional de Talento Humano
</t>
    </r>
    <r>
      <rPr>
        <b/>
        <sz val="8"/>
        <rFont val="Calibri"/>
        <family val="2"/>
        <scheme val="minor"/>
      </rPr>
      <t>¿Cómo se realiza el control?:</t>
    </r>
    <r>
      <rPr>
        <sz val="8"/>
        <rFont val="Calibri"/>
        <family val="2"/>
        <scheme val="minor"/>
      </rPr>
      <t xml:space="preserve"> Diligencia el formato A-04-F-012 Estudio de cumplimiento de requisitos para otorgamiento de nombramiento provisional y/o de libre nombramiento y remoción el cual es firmado por el profesional que elabora y el Coordinador de Talento Humano que revisa y aprueba.
</t>
    </r>
    <r>
      <rPr>
        <b/>
        <sz val="8"/>
        <rFont val="Calibri"/>
        <family val="2"/>
        <scheme val="minor"/>
      </rPr>
      <t>Propósito:</t>
    </r>
    <r>
      <rPr>
        <sz val="8"/>
        <rFont val="Calibri"/>
        <family val="2"/>
        <scheme val="minor"/>
      </rPr>
      <t xml:space="preserve"> Evitar la vinculación de servidores públicos sin el cumplimiento de los requisitos establecidos.
</t>
    </r>
    <r>
      <rPr>
        <b/>
        <sz val="8"/>
        <rFont val="Calibri"/>
        <family val="2"/>
        <scheme val="minor"/>
      </rPr>
      <t>Periodicidad</t>
    </r>
    <r>
      <rPr>
        <sz val="8"/>
        <rFont val="Calibri"/>
        <family val="2"/>
        <scheme val="minor"/>
      </rPr>
      <t xml:space="preserve">: Cada vez que ingresa un colaborador a la planta de personal del INM bajo la modalidad de carrera. 
</t>
    </r>
    <r>
      <rPr>
        <b/>
        <sz val="8"/>
        <rFont val="Calibri"/>
        <family val="2"/>
        <scheme val="minor"/>
      </rPr>
      <t>Desviaciones</t>
    </r>
    <r>
      <rPr>
        <sz val="8"/>
        <rFont val="Calibri"/>
        <family val="2"/>
        <scheme val="minor"/>
      </rPr>
      <t xml:space="preserve">: En caso de detectar inconsistencias detiene la notificación del acto administrativo al interesado en vincularse bajo la modalidad de carrera, hasta verificar nuevamente el estudio de cumplimiento de requisitos. Adicionalmente, informa al coordinador de talento humano de la situación presentada. 
</t>
    </r>
    <r>
      <rPr>
        <b/>
        <sz val="8"/>
        <rFont val="Calibri"/>
        <family val="2"/>
        <scheme val="minor"/>
      </rPr>
      <t>Evidencia:</t>
    </r>
    <r>
      <rPr>
        <sz val="8"/>
        <rFont val="Calibri"/>
        <family val="2"/>
        <scheme val="minor"/>
      </rPr>
      <t xml:space="preserve"> Con relación a la evidencia de las desviaciones, está pendiente por documentar en el A-04-P-005 SELECCIÓN, VINCULACIÓN Y PERMANENCIA DE PERSONAL.
</t>
    </r>
    <r>
      <rPr>
        <b/>
        <sz val="8"/>
        <rFont val="Calibri"/>
        <family val="2"/>
        <scheme val="minor"/>
      </rPr>
      <t>Documento</t>
    </r>
    <r>
      <rPr>
        <sz val="8"/>
        <rFont val="Calibri"/>
        <family val="2"/>
        <scheme val="minor"/>
      </rPr>
      <t>: Procedimiento  A-04-P-005 SELECCIÓN, VINCULACIÓN Y PERMANENCIA DE PERSONAL.</t>
    </r>
  </si>
  <si>
    <t>Se puede presentar cuando se beneficia a clientes, funcionarios, proponentes y contratistas por amiguismo o clientelismo por aceptar promesas o pagos, para no realizar auditorías a un proceso o un tema en especial, para favorecer intereses propios o particulares desviando la gestión de lo público en beneficio de lo privado.
Acción u omisión: " se puede presentar cuando se beneficia a clientes, funcionarios, proponentes y contratistas por amiguismo o clientelismo"
Uso del Poder: "aceptar promesas o pagos, para no realizar auditorías a un proceso o un tema en especial".
Desviar la gestión de lo público: "desviando la gestión de lo público en beneficio de lo privado.".
Beneficio privado: "Favorecer intereses particulares".</t>
  </si>
  <si>
    <t>Intereses particulares (dádivas, amiguismo, clientelismo)
Presiones indebidas por parte de políticos</t>
  </si>
  <si>
    <t xml:space="preserve">Falta de integridad y ética por parte del equipo de trabajo. 
Incumplimiento al código de ética por parte del auditor. </t>
  </si>
  <si>
    <r>
      <rPr>
        <b/>
        <sz val="8"/>
        <rFont val="Calibri"/>
        <family val="2"/>
        <scheme val="minor"/>
      </rPr>
      <t>Control</t>
    </r>
    <r>
      <rPr>
        <sz val="8"/>
        <rFont val="Calibri"/>
        <family val="2"/>
        <scheme val="minor"/>
      </rPr>
      <t xml:space="preserve">: Validar los cambios realizados por parte del jefe de la OCI. 
</t>
    </r>
    <r>
      <rPr>
        <b/>
        <sz val="8"/>
        <rFont val="Calibri"/>
        <family val="2"/>
        <scheme val="minor"/>
      </rPr>
      <t>Propósito:</t>
    </r>
    <r>
      <rPr>
        <sz val="8"/>
        <rFont val="Calibri"/>
        <family val="2"/>
        <scheme val="minor"/>
      </rPr>
      <t xml:space="preserve"> Validar que el contenido del informe final que se haya emitido por parte del profesional del control interno con relación a la revisión del jefe de control interno, no pierda el sentido y objetivo que indica el profesional. 
</t>
    </r>
    <r>
      <rPr>
        <b/>
        <sz val="8"/>
        <rFont val="Calibri"/>
        <family val="2"/>
        <scheme val="minor"/>
      </rPr>
      <t xml:space="preserve">¿Cómo se realiza el control?: </t>
    </r>
    <r>
      <rPr>
        <sz val="8"/>
        <rFont val="Calibri"/>
        <family val="2"/>
        <scheme val="minor"/>
      </rPr>
      <t xml:space="preserve">Cada vez que el jefe de control interno revise un informe que haya sido elaborado por un profesional de su equipo de trabajo y haga cambios sustanciales en su contenido, remitirá vía correo electrónico al profesional que lo elaboró para su validación y conformidad.
</t>
    </r>
    <r>
      <rPr>
        <b/>
        <sz val="8"/>
        <rFont val="Calibri"/>
        <family val="2"/>
        <scheme val="minor"/>
      </rPr>
      <t>Responsable</t>
    </r>
    <r>
      <rPr>
        <sz val="8"/>
        <rFont val="Calibri"/>
        <family val="2"/>
        <scheme val="minor"/>
      </rPr>
      <t xml:space="preserve">: Jefe de Oficina de control interno y profesional de la oficina.
</t>
    </r>
    <r>
      <rPr>
        <b/>
        <sz val="8"/>
        <rFont val="Calibri"/>
        <family val="2"/>
        <scheme val="minor"/>
      </rPr>
      <t>Periodicidad</t>
    </r>
    <r>
      <rPr>
        <sz val="8"/>
        <rFont val="Calibri"/>
        <family val="2"/>
        <scheme val="minor"/>
      </rPr>
      <t xml:space="preserve">: Cada vez que se realice un informe. 
</t>
    </r>
    <r>
      <rPr>
        <b/>
        <sz val="8"/>
        <rFont val="Calibri"/>
        <family val="2"/>
        <scheme val="minor"/>
      </rPr>
      <t>Evidencia</t>
    </r>
    <r>
      <rPr>
        <sz val="8"/>
        <rFont val="Calibri"/>
        <family val="2"/>
        <scheme val="minor"/>
      </rPr>
      <t xml:space="preserve">: Correo electrónico con el informe validado y conforme por parte del profesional de la oficina de control interno. 
</t>
    </r>
    <r>
      <rPr>
        <b/>
        <sz val="8"/>
        <rFont val="Calibri"/>
        <family val="2"/>
        <scheme val="minor"/>
      </rPr>
      <t>Desviaciones/Observaciones</t>
    </r>
    <r>
      <rPr>
        <sz val="8"/>
        <rFont val="Calibri"/>
        <family val="2"/>
        <scheme val="minor"/>
      </rPr>
      <t xml:space="preserve">: Los profesionales pueden revisar los informes que se encuentran publicados en la página web y si encuentran una diferencia sustancial, se informa al ente de control correspondiente. 
</t>
    </r>
    <r>
      <rPr>
        <b/>
        <sz val="8"/>
        <rFont val="Calibri"/>
        <family val="2"/>
        <scheme val="minor"/>
      </rPr>
      <t>Documentado</t>
    </r>
    <r>
      <rPr>
        <sz val="8"/>
        <rFont val="Calibri"/>
        <family val="2"/>
        <scheme val="minor"/>
      </rPr>
      <t>: C-01-P-002 AUDITORÍA CONTROL INTERNO y C-01-P-004 ELABORACIÓN  Y TRASMISIÒN DE INFORMES DE CONTROL INTERNO</t>
    </r>
  </si>
  <si>
    <t>Documentar los procedimientos aplicables para el control: 
C-01-P-002 AUDITORÍA CONTROL INTERNO y C-01-P-004 ELABORACIÓN  Y TRASMISIÒN DE INFORMES DE CONTROL INTERNO</t>
  </si>
  <si>
    <t>Jefe de control interno</t>
  </si>
  <si>
    <t>Cumplimiento al Plan Anual de Auditorias Internas</t>
  </si>
  <si>
    <t>Se puede presentar cuando por algún tipo de contraprestación, presiones internas o externas, amiguismo, clientelismo, conflicto de interés, se manipule la información dándole un inadecuado manejo que provoque desinformación a los grupos de valor favoreciendo los intereses propios o de terceros.
Acción u omisión: Manipular la información dándole un inadecuado manejo que provoque desinformación
Uso del Poder: Por parte de los involucrados en el proceso de comunicaciones
Desviar la gestión de lo público: Desinformación a los grupos de valor favoreciendo los intereses propios o de terceros
Beneficio privado: Favoreciendo intereses terceros</t>
  </si>
  <si>
    <t>Información del INM</t>
  </si>
  <si>
    <t>Intereses particulares (dádivas, amiguismo, clientelismo)
Presiones indebidas</t>
  </si>
  <si>
    <t>Intereses particulares
Proceso, documentación y controles
Tecnológicos
Ética en la función pública</t>
  </si>
  <si>
    <t>Acceso no autorizado a información confidencial
Divulgación no autorizada de información confidencial</t>
  </si>
  <si>
    <t>Recibir dádivas o tener intereses personales frente a los temas a comunicar</t>
  </si>
  <si>
    <t>Pérdida de imagen institucional
Apertura de procesos disciplinarios
Denuncias y/o demandas contra el INM.</t>
  </si>
  <si>
    <r>
      <rPr>
        <b/>
        <sz val="8"/>
        <rFont val="Calibri"/>
        <family val="2"/>
        <scheme val="minor"/>
      </rPr>
      <t>Control 1</t>
    </r>
    <r>
      <rPr>
        <sz val="8"/>
        <rFont val="Calibri"/>
        <family val="2"/>
        <scheme val="minor"/>
      </rPr>
      <t xml:space="preserve">: Aprobar solicitud
</t>
    </r>
    <r>
      <rPr>
        <b/>
        <sz val="8"/>
        <rFont val="Calibri"/>
        <family val="2"/>
        <scheme val="minor"/>
      </rPr>
      <t>Propósito:</t>
    </r>
    <r>
      <rPr>
        <sz val="8"/>
        <rFont val="Calibri"/>
        <family val="2"/>
        <scheme val="minor"/>
      </rPr>
      <t xml:space="preserve"> Prevenir errores de ortografía, redacción, contenido y pertinencia en las comunicaciones del INM.
</t>
    </r>
    <r>
      <rPr>
        <b/>
        <sz val="8"/>
        <rFont val="Calibri"/>
        <family val="2"/>
        <scheme val="minor"/>
      </rPr>
      <t xml:space="preserve">¿Cómo se realiza el control?: </t>
    </r>
    <r>
      <rPr>
        <sz val="8"/>
        <rFont val="Calibri"/>
        <family val="2"/>
        <scheme val="minor"/>
      </rPr>
      <t xml:space="preserve">Revisa la solicitud de comunicación, verificando ortografía, redacción, contenido y pertinencia.
</t>
    </r>
    <r>
      <rPr>
        <b/>
        <sz val="8"/>
        <rFont val="Calibri"/>
        <family val="2"/>
        <scheme val="minor"/>
      </rPr>
      <t>Responsable</t>
    </r>
    <r>
      <rPr>
        <sz val="8"/>
        <rFont val="Calibri"/>
        <family val="2"/>
        <scheme val="minor"/>
      </rPr>
      <t xml:space="preserve">: Jefe del área 
</t>
    </r>
    <r>
      <rPr>
        <b/>
        <sz val="8"/>
        <rFont val="Calibri"/>
        <family val="2"/>
        <scheme val="minor"/>
      </rPr>
      <t>Periodicidad</t>
    </r>
    <r>
      <rPr>
        <sz val="8"/>
        <rFont val="Calibri"/>
        <family val="2"/>
        <scheme val="minor"/>
      </rPr>
      <t xml:space="preserve">: Cada vez que se realice una solicitud de comunicaciones. 
</t>
    </r>
    <r>
      <rPr>
        <b/>
        <sz val="8"/>
        <rFont val="Calibri"/>
        <family val="2"/>
        <scheme val="minor"/>
      </rPr>
      <t>Evidencia</t>
    </r>
    <r>
      <rPr>
        <sz val="8"/>
        <rFont val="Calibri"/>
        <family val="2"/>
        <scheme val="minor"/>
      </rPr>
      <t xml:space="preserve">: Solicitud radicada en la herramienta informática designada por el INM
</t>
    </r>
    <r>
      <rPr>
        <b/>
        <sz val="8"/>
        <rFont val="Calibri"/>
        <family val="2"/>
        <scheme val="minor"/>
      </rPr>
      <t>Desviaciones/Observaciones</t>
    </r>
    <r>
      <rPr>
        <sz val="8"/>
        <rFont val="Calibri"/>
        <family val="2"/>
        <scheme val="minor"/>
      </rPr>
      <t xml:space="preserve">: Si el contenido es correcto y pertinente aprueba y radica en la herramienta informática designada por el INM para tal fin. 
En caso de que el contenido de la solicitud no sea correcto, adecuado o de no ser pertinente, se devuelve (rechaza), y finaliza el procedimiento.
</t>
    </r>
    <r>
      <rPr>
        <b/>
        <sz val="8"/>
        <rFont val="Calibri"/>
        <family val="2"/>
        <scheme val="minor"/>
      </rPr>
      <t>Documentado</t>
    </r>
    <r>
      <rPr>
        <sz val="8"/>
        <rFont val="Calibri"/>
        <family val="2"/>
        <scheme val="minor"/>
      </rPr>
      <t>: Procedimiento E-03-P-001 COMUNICACIÓN INTERNA Y EXTERNA</t>
    </r>
  </si>
  <si>
    <t xml:space="preserve">Actualizar la documentación necesaria en la gestión de comunicaciones y socializar dichos cambios. </t>
  </si>
  <si>
    <t>Profesional del proceso de comunicaciones</t>
  </si>
  <si>
    <t>Solicitudes de comunicación gestionadas oportunamente que permitan apoyar el logro de los objetivos estratégicos y misionales de todos los procesos del INM.</t>
  </si>
  <si>
    <r>
      <rPr>
        <b/>
        <sz val="8"/>
        <rFont val="Calibri"/>
        <family val="2"/>
        <scheme val="minor"/>
      </rPr>
      <t>Control 2</t>
    </r>
    <r>
      <rPr>
        <sz val="8"/>
        <rFont val="Calibri"/>
        <family val="2"/>
        <scheme val="minor"/>
      </rPr>
      <t xml:space="preserve">: Recibir y revisar solicitudes
</t>
    </r>
    <r>
      <rPr>
        <b/>
        <sz val="8"/>
        <rFont val="Calibri"/>
        <family val="2"/>
        <scheme val="minor"/>
      </rPr>
      <t>Propósito:</t>
    </r>
    <r>
      <rPr>
        <sz val="8"/>
        <rFont val="Calibri"/>
        <family val="2"/>
        <scheme val="minor"/>
      </rPr>
      <t xml:space="preserve"> Asegurar que la información suministrada por el solicitante cumpla con todos los parámetros que garanticen la divulgación.
</t>
    </r>
    <r>
      <rPr>
        <b/>
        <sz val="8"/>
        <rFont val="Calibri"/>
        <family val="2"/>
        <scheme val="minor"/>
      </rPr>
      <t xml:space="preserve">¿Cómo se realiza el control?: </t>
    </r>
    <r>
      <rPr>
        <sz val="8"/>
        <rFont val="Calibri"/>
        <family val="2"/>
        <scheme val="minor"/>
      </rPr>
      <t xml:space="preserve">Recibe y revisa que en la solicitud:
- Estén diligenciados todos los campos del formato (Electrónico o Físico)
- La información registrada sea clara
- Cuente con el consecutivo que genera la herramienta informática definida por el INM para tal fin.
</t>
    </r>
    <r>
      <rPr>
        <b/>
        <sz val="8"/>
        <rFont val="Calibri"/>
        <family val="2"/>
        <scheme val="minor"/>
      </rPr>
      <t>Responsable</t>
    </r>
    <r>
      <rPr>
        <sz val="8"/>
        <rFont val="Calibri"/>
        <family val="2"/>
        <scheme val="minor"/>
      </rPr>
      <t xml:space="preserve">: Profesional a cargo del equipo de Comunicaciones
</t>
    </r>
    <r>
      <rPr>
        <b/>
        <sz val="8"/>
        <rFont val="Calibri"/>
        <family val="2"/>
        <scheme val="minor"/>
      </rPr>
      <t>Periodicidad</t>
    </r>
    <r>
      <rPr>
        <sz val="8"/>
        <rFont val="Calibri"/>
        <family val="2"/>
        <scheme val="minor"/>
      </rPr>
      <t xml:space="preserve">: Cada vez que se realice una solicitud de comunicaciones. 
</t>
    </r>
    <r>
      <rPr>
        <b/>
        <sz val="8"/>
        <rFont val="Calibri"/>
        <family val="2"/>
        <scheme val="minor"/>
      </rPr>
      <t>Evidencia</t>
    </r>
    <r>
      <rPr>
        <sz val="8"/>
        <rFont val="Calibri"/>
        <family val="2"/>
        <scheme val="minor"/>
      </rPr>
      <t xml:space="preserve">: Solicitud radicada en la herramienta informática designada por el INM
</t>
    </r>
    <r>
      <rPr>
        <b/>
        <sz val="8"/>
        <rFont val="Calibri"/>
        <family val="2"/>
        <scheme val="minor"/>
      </rPr>
      <t>Desviaciones/Observaciones</t>
    </r>
    <r>
      <rPr>
        <sz val="8"/>
        <rFont val="Calibri"/>
        <family val="2"/>
        <scheme val="minor"/>
      </rPr>
      <t xml:space="preserve">: Si no es correcta devuelve (con el estado verificado) con las respectivas observaciones para su corrección o adición de anexos a través de correo electrónico.
En caso de ser correcta registra en la herramienta informática el “estado verificado”
</t>
    </r>
    <r>
      <rPr>
        <b/>
        <sz val="8"/>
        <rFont val="Calibri"/>
        <family val="2"/>
        <scheme val="minor"/>
      </rPr>
      <t>Documentado</t>
    </r>
    <r>
      <rPr>
        <sz val="8"/>
        <rFont val="Calibri"/>
        <family val="2"/>
        <scheme val="minor"/>
      </rPr>
      <t>: Procedimiento E-03-P-001 COMUNICACIÓN INTERNA Y EXTERNA</t>
    </r>
  </si>
  <si>
    <r>
      <rPr>
        <b/>
        <sz val="8"/>
        <color rgb="FF000000"/>
        <rFont val="Calibri"/>
        <scheme val="minor"/>
      </rPr>
      <t>Control 3</t>
    </r>
    <r>
      <rPr>
        <sz val="8"/>
        <color rgb="FF000000"/>
        <rFont val="Calibri"/>
        <scheme val="minor"/>
      </rPr>
      <t xml:space="preserve">: Usar los mecanismos de denuncia internos. Canal de denuncia segura.
</t>
    </r>
    <r>
      <rPr>
        <b/>
        <sz val="8"/>
        <color rgb="FF000000"/>
        <rFont val="Calibri"/>
        <scheme val="minor"/>
      </rPr>
      <t xml:space="preserve">Propósito: </t>
    </r>
    <r>
      <rPr>
        <sz val="8"/>
        <color rgb="FF000000"/>
        <rFont val="Calibri"/>
        <scheme val="minor"/>
      </rPr>
      <t xml:space="preserve">Poder realizar libremente denuncias sobre posibles hechos de corrupción al interior de la entidad.
</t>
    </r>
    <r>
      <rPr>
        <b/>
        <sz val="8"/>
        <color rgb="FF000000"/>
        <rFont val="Calibri"/>
        <scheme val="minor"/>
      </rPr>
      <t>Responsable</t>
    </r>
    <r>
      <rPr>
        <sz val="8"/>
        <color rgb="FF000000"/>
        <rFont val="Calibri"/>
        <scheme val="minor"/>
      </rPr>
      <t xml:space="preserve">: Profesional designado como Oficial de transparencia INM.
</t>
    </r>
    <r>
      <rPr>
        <b/>
        <sz val="8"/>
        <color rgb="FF000000"/>
        <rFont val="Calibri"/>
        <scheme val="minor"/>
      </rPr>
      <t>¿Cómo se realiza el control?</t>
    </r>
    <r>
      <rPr>
        <sz val="8"/>
        <color rgb="FF000000"/>
        <rFont val="Calibri"/>
        <scheme val="minor"/>
      </rPr>
      <t xml:space="preserve">: Usando los mecanismos de denuncia que se soportan en el canal de denuncia segura, el cual es administrado por la Oficina de Relación con el Ciudadano.
</t>
    </r>
    <r>
      <rPr>
        <b/>
        <sz val="8"/>
        <color rgb="FF000000"/>
        <rFont val="Calibri"/>
        <scheme val="minor"/>
      </rPr>
      <t>Periodicidad</t>
    </r>
    <r>
      <rPr>
        <sz val="8"/>
        <color rgb="FF000000"/>
        <rFont val="Calibri"/>
        <scheme val="minor"/>
      </rPr>
      <t xml:space="preserve">: Cada vez que se presente la denuncia
</t>
    </r>
    <r>
      <rPr>
        <b/>
        <sz val="8"/>
        <color rgb="FF000000"/>
        <rFont val="Calibri"/>
        <scheme val="minor"/>
      </rPr>
      <t>Evidencia</t>
    </r>
    <r>
      <rPr>
        <sz val="8"/>
        <color rgb="FF000000"/>
        <rFont val="Calibri"/>
        <scheme val="minor"/>
      </rPr>
      <t xml:space="preserve">: Registro de la denuncia en la herramienta informática definida por INM para tal fin.
</t>
    </r>
    <r>
      <rPr>
        <b/>
        <sz val="8"/>
        <color rgb="FF000000"/>
        <rFont val="Calibri"/>
        <scheme val="minor"/>
      </rPr>
      <t>Desviaciones/Observaciones:</t>
    </r>
    <r>
      <rPr>
        <sz val="8"/>
        <color rgb="FF000000"/>
        <rFont val="Calibri"/>
        <scheme val="minor"/>
      </rPr>
      <t xml:space="preserve"> en caso de fallo de alguno de los canales de recepción de denuncias se tiene a disposición canales adicionales de atención como el canal telefónico, el correo electrónico exclusivo, de tal forma que se garantice la atención continua. 
</t>
    </r>
    <r>
      <rPr>
        <b/>
        <sz val="8"/>
        <color rgb="FF000000"/>
        <rFont val="Calibri"/>
        <scheme val="minor"/>
      </rPr>
      <t>Documentado</t>
    </r>
    <r>
      <rPr>
        <sz val="8"/>
        <color rgb="FF000000"/>
        <rFont val="Calibri"/>
        <scheme val="minor"/>
      </rPr>
      <t>: RESOLUCIÓN NÚMERO 383 del 25 DE SEPTIEMBRE 2020 “Por la cual se vincula al INM a la Red Interinstitucional de Transparencia y Anticorrupción – RITA, se adopta el manual base y se hace una designación como Oficial de Transparencia”</t>
    </r>
  </si>
  <si>
    <t xml:space="preserve">Para el control 3: Se debe evaluar la necesidad y conveniencia de implementar dentro del control, la grabación de las llamadas que ingresan al Instituto, considerando el marco legal aplicable. </t>
  </si>
  <si>
    <t>Documento o correo que evidencia la necesidad o no de implementar las llamadas que ingresan al INM.</t>
  </si>
  <si>
    <t>Subdirectora de SSRMC</t>
  </si>
  <si>
    <t>Se puede presentar cuando durante la ejecución o el desarrollo de un ensayo de aptitud se beneficia a clientes por contraprestación, amiguismo o clientelismo por filtrar el valor de referencia antes de la ejecución de las mediciones por parte de los laboratorios participantes o divulgando los códigos asignados de los laboratorios participantes a un externo interesado, para favorecer intereses propios o particulares desviando la gestión de lo público en beneficio de lo privado.
Acción u omisión: Filtrar el valor de referencia antes de la ejecución de las mediciones por parte de los laboratorios participantes o divulgando los códigos asignados de los laboratorios participantes a un externo interesado
Uso del Poder: por contraprestación, amiguismo o clientelismo por parte de los involucrados en el servicio de EA
Desviar la gestión de lo Público: desviando la gestión de lo público en beneficio de lo privado.
Beneficio privado:  para favorecer intereses propios o particulares</t>
  </si>
  <si>
    <t>El proceso inicia con la planificación de los servicios de ensayos de aptitud y estudios colaborativos (comparaciones interlaboratorios) y finaliza con la aplicación de la evaluación de la satisfacción del servicio.</t>
  </si>
  <si>
    <t>Intereses particulares
Proceso, documentación y controles
Ética en la función pública</t>
  </si>
  <si>
    <t xml:space="preserve">Falta de ética profesional (recibir, solicitar contraprestaciones; amiguismo, clientelismo)
</t>
  </si>
  <si>
    <t xml:space="preserve">pérdida de imagen institucional (confianza en el servicio de ensayos de aptitud)
daños contra el INM
Apertura de procesos disciplinarios
</t>
  </si>
  <si>
    <r>
      <rPr>
        <b/>
        <sz val="8"/>
        <color rgb="FF000000"/>
        <rFont val="Calibri"/>
        <family val="2"/>
        <scheme val="minor"/>
      </rPr>
      <t>Control 1</t>
    </r>
    <r>
      <rPr>
        <sz val="8"/>
        <color rgb="FF000000"/>
        <rFont val="Calibri"/>
        <family val="2"/>
        <scheme val="minor"/>
      </rPr>
      <t xml:space="preserve">: Restringir la información de los participantes a los expertos técnicos de los laboratorios y demás personal del INM que participe en el servicio de EA.
</t>
    </r>
    <r>
      <rPr>
        <b/>
        <sz val="8"/>
        <color rgb="FF000000"/>
        <rFont val="Calibri"/>
        <family val="2"/>
        <scheme val="minor"/>
      </rPr>
      <t>Propósito</t>
    </r>
    <r>
      <rPr>
        <sz val="8"/>
        <color rgb="FF000000"/>
        <rFont val="Calibri"/>
        <family val="2"/>
        <scheme val="minor"/>
      </rPr>
      <t xml:space="preserve">: Que esta información solo sea conocida por personal directamente involucrado en el proceso y que no se filtre a terceros.
</t>
    </r>
    <r>
      <rPr>
        <b/>
        <sz val="8"/>
        <color rgb="FF000000"/>
        <rFont val="Calibri"/>
        <family val="2"/>
        <scheme val="minor"/>
      </rPr>
      <t>¿Cómo se realiza el control?</t>
    </r>
    <r>
      <rPr>
        <sz val="8"/>
        <color rgb="FF000000"/>
        <rFont val="Calibri"/>
        <family val="2"/>
        <scheme val="minor"/>
      </rPr>
      <t xml:space="preserve"> Los registros en medio magnéticos son protegidos, acorde con las políticas de seguridad, copias de seguridad y accesos restringidos implementados por el INM.
</t>
    </r>
    <r>
      <rPr>
        <b/>
        <sz val="8"/>
        <color rgb="FF000000"/>
        <rFont val="Calibri"/>
        <family val="2"/>
        <scheme val="minor"/>
      </rPr>
      <t>Responsable</t>
    </r>
    <r>
      <rPr>
        <sz val="8"/>
        <color rgb="FF000000"/>
        <rFont val="Calibri"/>
        <family val="2"/>
        <scheme val="minor"/>
      </rPr>
      <t xml:space="preserve">: Coordinador del Grupo de Gestión de Ensayos de Aptitud
</t>
    </r>
    <r>
      <rPr>
        <b/>
        <sz val="8"/>
        <color rgb="FF000000"/>
        <rFont val="Calibri"/>
        <family val="2"/>
        <scheme val="minor"/>
      </rPr>
      <t>Periodicidad</t>
    </r>
    <r>
      <rPr>
        <sz val="8"/>
        <color rgb="FF000000"/>
        <rFont val="Calibri"/>
        <family val="2"/>
        <scheme val="minor"/>
      </rPr>
      <t xml:space="preserve">: Por cada ensayo de aptitud
</t>
    </r>
    <r>
      <rPr>
        <b/>
        <sz val="8"/>
        <color rgb="FF000000"/>
        <rFont val="Calibri"/>
        <family val="2"/>
        <scheme val="minor"/>
      </rPr>
      <t>Evidencia</t>
    </r>
    <r>
      <rPr>
        <sz val="8"/>
        <color rgb="FF000000"/>
        <rFont val="Calibri"/>
        <family val="2"/>
        <scheme val="minor"/>
      </rPr>
      <t xml:space="preserve">: Control de acceso a carpetas compartidas que contengan la información de los EA limitándolo a expertos técnicos de los laboratorios y demás personal del INM que participe en el servicio de EA.
</t>
    </r>
    <r>
      <rPr>
        <b/>
        <sz val="8"/>
        <color rgb="FF000000"/>
        <rFont val="Calibri"/>
        <family val="2"/>
        <scheme val="minor"/>
      </rPr>
      <t>Desviaciones/Observaciones</t>
    </r>
    <r>
      <rPr>
        <sz val="8"/>
        <color rgb="FF000000"/>
        <rFont val="Calibri"/>
        <family val="2"/>
        <scheme val="minor"/>
      </rPr>
      <t xml:space="preserve">: Si algún experto técnico requiere información adicional de los participantes, envía la solicitud de acceso al Coordinador del Grupo de Ensayos de Aptitud. 
</t>
    </r>
    <r>
      <rPr>
        <b/>
        <sz val="8"/>
        <color rgb="FF000000"/>
        <rFont val="Calibri"/>
        <family val="2"/>
        <scheme val="minor"/>
      </rPr>
      <t>Documentado</t>
    </r>
    <r>
      <rPr>
        <sz val="8"/>
        <color rgb="FF000000"/>
        <rFont val="Calibri"/>
        <family val="2"/>
        <scheme val="minor"/>
      </rPr>
      <t>: Numeral 7.10.2 Confidencialidad del M-05-M-001 Manual de ensayos de aptitud</t>
    </r>
  </si>
  <si>
    <t xml:space="preserve">Tomando como base el plan de gestión de cambio de la transición de la ISO/IEC 17043, cargar la evidencia en esta acción para abordar el riesgo, relacionada con la documentación relacionada con el manual de ensayos de aptitud teniendo en cuenta las actividades del control. </t>
  </si>
  <si>
    <t>Documentos actualizados en Isolución</t>
  </si>
  <si>
    <t>Personal del GIT de Ensayos de aptitud</t>
  </si>
  <si>
    <t>Oportunidad en la entrega de informes a los participantes de ensayos de aptitud</t>
  </si>
  <si>
    <t>Pérdida de imagen institucional (confianza en el servicio de ensayos de aptitud)
Daños contra el INM
Apertura de procesos disciplinarios</t>
  </si>
  <si>
    <r>
      <rPr>
        <b/>
        <sz val="8"/>
        <color rgb="FF000000"/>
        <rFont val="Calibri"/>
        <family val="2"/>
        <scheme val="minor"/>
      </rPr>
      <t>Control 2</t>
    </r>
    <r>
      <rPr>
        <sz val="8"/>
        <color rgb="FF000000"/>
        <rFont val="Calibri"/>
        <family val="2"/>
        <scheme val="minor"/>
      </rPr>
      <t xml:space="preserve">: El profesional del Grupo interno de trabajo de ensayos de aptitud o a quien designe custodia la información de los participantes ante la consulta de personal no autorizado.
</t>
    </r>
    <r>
      <rPr>
        <b/>
        <sz val="8"/>
        <color rgb="FF000000"/>
        <rFont val="Calibri"/>
        <family val="2"/>
        <scheme val="minor"/>
      </rPr>
      <t>Propósito</t>
    </r>
    <r>
      <rPr>
        <sz val="8"/>
        <color rgb="FF000000"/>
        <rFont val="Calibri"/>
        <family val="2"/>
        <scheme val="minor"/>
      </rPr>
      <t xml:space="preserve">: que esta información solo sea conocida por personal directamente involucrado en el proceso y que no se filtre a terceros.
</t>
    </r>
    <r>
      <rPr>
        <b/>
        <sz val="8"/>
        <color rgb="FF000000"/>
        <rFont val="Calibri"/>
        <family val="2"/>
        <scheme val="minor"/>
      </rPr>
      <t>¿Cómo se realiza el control?</t>
    </r>
    <r>
      <rPr>
        <sz val="8"/>
        <color rgb="FF000000"/>
        <rFont val="Calibri"/>
        <family val="2"/>
        <scheme val="minor"/>
      </rPr>
      <t xml:space="preserve">: Todos los correos y comunicaciones del cliente es solamente recibida por el equipo de ensayo de aptitud y se almacena en una carpeta compartida que solo tiene acceso el Grupo de EA. Se custodia la información de los participantes ante la consulta de personal no autorizado por medio de los lineamientos establecidos en el instructivo M-05-I-007 GESTIÓN DE REGISTROS DE ENSAYOS DE APTITUD Y COMPARACIONES INTERLABORATORIO.
</t>
    </r>
    <r>
      <rPr>
        <b/>
        <sz val="8"/>
        <color rgb="FF000000"/>
        <rFont val="Calibri"/>
        <family val="2"/>
        <scheme val="minor"/>
      </rPr>
      <t>Responsable</t>
    </r>
    <r>
      <rPr>
        <sz val="8"/>
        <color rgb="FF000000"/>
        <rFont val="Calibri"/>
        <family val="2"/>
        <scheme val="minor"/>
      </rPr>
      <t xml:space="preserve">: Coordinador del Grupo de Gestión de Ensayos de Aptitud
</t>
    </r>
    <r>
      <rPr>
        <b/>
        <sz val="8"/>
        <color rgb="FF000000"/>
        <rFont val="Calibri"/>
        <family val="2"/>
        <scheme val="minor"/>
      </rPr>
      <t>Periodicidad</t>
    </r>
    <r>
      <rPr>
        <sz val="8"/>
        <color rgb="FF000000"/>
        <rFont val="Calibri"/>
        <family val="2"/>
        <scheme val="minor"/>
      </rPr>
      <t xml:space="preserve">: Por cada ensayo de aptitud
</t>
    </r>
    <r>
      <rPr>
        <b/>
        <sz val="8"/>
        <color rgb="FF000000"/>
        <rFont val="Calibri"/>
        <family val="2"/>
        <scheme val="minor"/>
      </rPr>
      <t>Evidencia</t>
    </r>
    <r>
      <rPr>
        <sz val="8"/>
        <color rgb="FF000000"/>
        <rFont val="Calibri"/>
        <family val="2"/>
        <scheme val="minor"/>
      </rPr>
      <t xml:space="preserve">: Carpetas compartidas únicamente con el personal del proceso de EA. 
</t>
    </r>
    <r>
      <rPr>
        <b/>
        <sz val="8"/>
        <color rgb="FF000000"/>
        <rFont val="Calibri"/>
        <family val="2"/>
        <scheme val="minor"/>
      </rPr>
      <t>Desviaciones/Observaciones</t>
    </r>
    <r>
      <rPr>
        <sz val="8"/>
        <color rgb="FF000000"/>
        <rFont val="Calibri"/>
        <family val="2"/>
        <scheme val="minor"/>
      </rPr>
      <t xml:space="preserve">: Si algún experto requiere información adicional de los participantes, envía la solicitud de acceso al Coordinador del GITdel proceso de EA. 
</t>
    </r>
    <r>
      <rPr>
        <b/>
        <sz val="8"/>
        <color rgb="FF000000"/>
        <rFont val="Calibri"/>
        <family val="2"/>
        <scheme val="minor"/>
      </rPr>
      <t>Documentado</t>
    </r>
    <r>
      <rPr>
        <sz val="8"/>
        <color rgb="FF000000"/>
        <rFont val="Calibri"/>
        <family val="2"/>
        <scheme val="minor"/>
      </rPr>
      <t xml:space="preserve">: Instructivo M-05-I-007 GESTIÓN DE REGISTROS DE ENSAYOS DE APTITUD Y COMPARACIONES INTERLABORATORIO
</t>
    </r>
    <r>
      <rPr>
        <b/>
        <sz val="8"/>
        <color rgb="FF000000"/>
        <rFont val="Calibri"/>
        <family val="2"/>
        <scheme val="minor"/>
      </rPr>
      <t>Evidencia:</t>
    </r>
    <r>
      <rPr>
        <sz val="8"/>
        <color rgb="FF000000"/>
        <rFont val="Calibri"/>
        <family val="2"/>
        <scheme val="minor"/>
      </rPr>
      <t xml:space="preserve"> Control de acceso a carpetas compartidas que contengan la información de los EA limitándolo a expertos técnicos de los laboratorios y demás personal del INM que participe en el servicio de EA.
Registro de recursos compartidos de la carpeta (ci-ea) únicamente para el personal del proceso de EA.</t>
    </r>
  </si>
  <si>
    <t>Se puede presentar cuando el personal involucrado en la realización del tratamiento de los datos del ensayo de aptitud, altere los resultados del mismo, beneficiando o perjudicando a un laboratorio participante, que, por conflictos de interés, presiones comerciales, clientelismo, contraprestación, se usen para favorecer intereses propios o particulares desviando la gestión de lo público en beneficio de lo privado. 
Acción u omisión: modificar o manipular los resultados del mismo, beneficiando o perjudicando a un laboratorio participante
 Uso del Poder: personal involucrado en la realización del tratamiento de los datos del ensayo de aptitud
Desviar la gestión de lo Público: desviando la gestión de lo público en beneficio de lo privado
Beneficio privado: se usen para favorecer intereses propios o particulares</t>
  </si>
  <si>
    <t>Tecnológicos
Intereses particulares
Proceso, documentación y controles
Ética en la función pública</t>
  </si>
  <si>
    <t>pérdida de imagen institucional (confianza en el servicio de ensayos de aptitud)
demandas contra el INM
Apertura de procesos disciplinarios</t>
  </si>
  <si>
    <t xml:space="preserve">Control 1: Revisión de los datos en el formato de base de resultados. 
Propósito: Incrementar la seguridad sobre los resultados cuando se ha finalizado un ensayo de aptitud.  
¿Cómo se realiza el control?: Revisiones cruzadas, es decir, la persona que elabora no es la misma que revisa ni que aprueba. 
Dado lo anterior, el personal autorizado del GIT de Ensayos de aptitud, verifica que los datos registrados de los ensayos de aptitud finalizados, estén bien procesados, sean coherentes con los reportados y que éstos no hayan sido alterados. Se debe tener en cuenta que el acceso a esta información está restringida al personal de EA.
Estas revisiones se realizarán de acuerdo a los lineamientos de la ISO/IEC 17043 .
Responsable: Coordinador del Grupo interno de trabajo de Gestión de Ensayos de Aptitud  o quien designe.
Periodicidad: Por cada Ensayo de Aptitud. 
Evidencia: Registro de los formatos M-05-F-021 19-M-05-1.1 BD resultados y/o EA M-05-F-022 BASE DE DATOS EA-CI ENSAYOS QUÍMICOS y/o M-05-F-023 Determinación del valor asignado. 
Desviaciones: Si durante la revisión de los datos en los formatos de base de resultados y de Determinación del valor asignado, se identifican casos en los cuales los datos no son iguales a los reportados por el participante, se procede a registrar la observación y se suspende el proceso de análisis estadístico mientras se estudia la situación presentada con respectivas causas. 
Documentado: M-05-I-002 Diseño estadístico EA-CI </t>
  </si>
  <si>
    <t xml:space="preserve">Tomando como base el plan de gestión de cambio de la transición de la ISO/IEC 17043, cargar la evidencia en esta acción para abordar el riesgo, relacionada con la documentación relacionada con el diseño estadístico (formatos, instructivos si aplica) teniendo en cuenta las desviaciones de este control. </t>
  </si>
  <si>
    <r>
      <rPr>
        <b/>
        <sz val="8"/>
        <color rgb="FF000000"/>
        <rFont val="Calibri"/>
        <family val="2"/>
        <scheme val="minor"/>
      </rPr>
      <t>Control 2</t>
    </r>
    <r>
      <rPr>
        <sz val="8"/>
        <color rgb="FF000000"/>
        <rFont val="Calibri"/>
        <family val="2"/>
        <scheme val="minor"/>
      </rPr>
      <t xml:space="preserve">: Revisión y validación de los protocolos e informes. 
</t>
    </r>
    <r>
      <rPr>
        <b/>
        <sz val="8"/>
        <color rgb="FF000000"/>
        <rFont val="Calibri"/>
        <family val="2"/>
        <scheme val="minor"/>
      </rPr>
      <t xml:space="preserve">Propósito: </t>
    </r>
    <r>
      <rPr>
        <sz val="8"/>
        <color rgb="FF000000"/>
        <rFont val="Calibri"/>
        <family val="2"/>
        <scheme val="minor"/>
      </rPr>
      <t xml:space="preserve">Incrementar la seguridad sobre los resultados cuando se ha finalizado un ensayo de aptitud.  
</t>
    </r>
    <r>
      <rPr>
        <b/>
        <sz val="8"/>
        <color rgb="FF000000"/>
        <rFont val="Calibri"/>
        <family val="2"/>
        <scheme val="minor"/>
      </rPr>
      <t xml:space="preserve">¿Cómo se realiza el control?: </t>
    </r>
    <r>
      <rPr>
        <sz val="8"/>
        <color rgb="FF000000"/>
        <rFont val="Calibri"/>
        <family val="2"/>
        <scheme val="minor"/>
      </rPr>
      <t xml:space="preserve">Revisiones cruzadas, es decir, la persona que elabora no es la misma que revisa ni que aprueba. 
Dado lo anterior, el personal autorizado del GIT de Ensayos de aptitud, verifica que los datos registrados de los ensayos de aptitud finalizados, estén bien procesados, sean coherentes con los reportados y que éstos no hayan sido alterados. Se debe tener en cuenta que el acceso a esta información está restringida al personal de EA.
Estas revisiones se realizarán de acuerdo a los lineamientos de la ISO/IEC 17043 .
</t>
    </r>
    <r>
      <rPr>
        <b/>
        <sz val="8"/>
        <color rgb="FF000000"/>
        <rFont val="Calibri"/>
        <family val="2"/>
        <scheme val="minor"/>
      </rPr>
      <t>Responsable</t>
    </r>
    <r>
      <rPr>
        <sz val="8"/>
        <color rgb="FF000000"/>
        <rFont val="Calibri"/>
        <family val="2"/>
        <scheme val="minor"/>
      </rPr>
      <t xml:space="preserve">: Coordinador del Grupo interno de trabajo de Gestión de Ensayos de Aptitud  o quien designe
</t>
    </r>
    <r>
      <rPr>
        <b/>
        <sz val="8"/>
        <color rgb="FF000000"/>
        <rFont val="Calibri"/>
        <family val="2"/>
        <scheme val="minor"/>
      </rPr>
      <t>Periodicidad</t>
    </r>
    <r>
      <rPr>
        <sz val="8"/>
        <color rgb="FF000000"/>
        <rFont val="Calibri"/>
        <family val="2"/>
        <scheme val="minor"/>
      </rPr>
      <t xml:space="preserve">: Por cada Ensayo de Aptitud. 
</t>
    </r>
    <r>
      <rPr>
        <b/>
        <sz val="8"/>
        <color rgb="FF000000"/>
        <rFont val="Calibri"/>
        <family val="2"/>
        <scheme val="minor"/>
      </rPr>
      <t>Evidencia</t>
    </r>
    <r>
      <rPr>
        <sz val="8"/>
        <color rgb="FF000000"/>
        <rFont val="Calibri"/>
        <family val="2"/>
        <scheme val="minor"/>
      </rPr>
      <t xml:space="preserve">: Registro del formato M-05-F-015 LISTA DE VERIFICACIÓN PARA LA REVISIÓN DE PROTOCOLOS E INFORMES
</t>
    </r>
    <r>
      <rPr>
        <b/>
        <sz val="8"/>
        <color rgb="FF000000"/>
        <rFont val="Calibri"/>
        <family val="2"/>
        <scheme val="minor"/>
      </rPr>
      <t xml:space="preserve">Desviaciones: </t>
    </r>
    <r>
      <rPr>
        <sz val="8"/>
        <color rgb="FF000000"/>
        <rFont val="Calibri"/>
        <family val="2"/>
        <scheme val="minor"/>
      </rPr>
      <t xml:space="preserve">Si durante la revisión de los datos en los formatos de base de resultados y de Determinación del valor asignado, se identifican casos en los cuales los datos no son iguales a los reportados por el participante, se procede a registrar la observación y se suspende el proceso de análisis estadístico mientras se estudia la situación presentada con respectivas causas. 
</t>
    </r>
    <r>
      <rPr>
        <b/>
        <sz val="8"/>
        <color rgb="FF000000"/>
        <rFont val="Calibri"/>
        <family val="2"/>
        <scheme val="minor"/>
      </rPr>
      <t>Documentado</t>
    </r>
    <r>
      <rPr>
        <sz val="8"/>
        <color rgb="FF000000"/>
        <rFont val="Calibri"/>
        <family val="2"/>
        <scheme val="minor"/>
      </rPr>
      <t xml:space="preserve">: M-05-I-004 ELABORACIÓN Y APROBACIÓN DE INFORMES DE ENSAYOS DE APTITUD. </t>
    </r>
  </si>
  <si>
    <t>Se puede presentar cuando durante o posterior la ejecución o el desarrollo de una asistencia técnica se beneficia a clientes por contraprestación, amiguismo o clientelismo por divulgar la información a terceros.
Acción u omisión: divulgar información propia de la persona jurídica a otros que pueda beneficiarse de la información. 
Uso del Poder: por contraprestación, amiguismo o clientelismo por parte de los involucrados en el servicio de AT. 
Desviar la gestión de lo Público: desviando la gestión de lo público en beneficio de lo privado.
Beneficio privado:  para favorecer intereses propios o particulares</t>
  </si>
  <si>
    <t xml:space="preserve">- falta de ética profesional (recibir, solicitar contraprestaciones; amiguismo, clientelismo)
</t>
  </si>
  <si>
    <t xml:space="preserve">pérdida de imagen institucional (confianza en el servicio de Asistencia Técnica)
Apertura de procesos disciplinarios
</t>
  </si>
  <si>
    <r>
      <rPr>
        <b/>
        <sz val="8"/>
        <color rgb="FF000000"/>
        <rFont val="Calibri"/>
        <scheme val="major"/>
      </rPr>
      <t>Control 1</t>
    </r>
    <r>
      <rPr>
        <sz val="8"/>
        <color rgb="FF000000"/>
        <rFont val="Calibri"/>
        <scheme val="major"/>
      </rPr>
      <t xml:space="preserve">: Convocatoria a reunión operativa de ejecución del servicio.
</t>
    </r>
    <r>
      <rPr>
        <b/>
        <sz val="8"/>
        <color rgb="FF000000"/>
        <rFont val="Calibri"/>
        <scheme val="major"/>
      </rPr>
      <t>Propósito:</t>
    </r>
    <r>
      <rPr>
        <sz val="8"/>
        <color rgb="FF000000"/>
        <rFont val="Calibri"/>
        <scheme val="major"/>
      </rPr>
      <t xml:space="preserve"> Determinar y aprobar la metodología, alcance de las actividades a desarrollar por cada profesional en el servicio y solicitar la firma del compromiso de confidencialidad. 
</t>
    </r>
    <r>
      <rPr>
        <b/>
        <sz val="8"/>
        <color rgb="FF000000"/>
        <rFont val="Calibri"/>
        <scheme val="major"/>
      </rPr>
      <t>¿Cómo se realiza el control?:</t>
    </r>
    <r>
      <rPr>
        <sz val="8"/>
        <color rgb="FF000000"/>
        <rFont val="Calibri"/>
        <scheme val="major"/>
      </rPr>
      <t xml:space="preserve"> Convoca a la reunión operativa de ejecución del servicio, aquí, de ser necesario se socializa las actividades asociadas a la asistencia técnica y a la modalidad del servicio que aplique. A esta son convocados los profesionales asignados a la ejecución del servicio y los coordinadores de grupo correspondientes.
</t>
    </r>
    <r>
      <rPr>
        <b/>
        <sz val="8"/>
        <color rgb="FF000000"/>
        <rFont val="Calibri"/>
        <scheme val="major"/>
      </rPr>
      <t>Responsable:</t>
    </r>
    <r>
      <rPr>
        <sz val="8"/>
        <color rgb="FF000000"/>
        <rFont val="Calibri"/>
        <scheme val="major"/>
      </rPr>
      <t xml:space="preserve"> Profesional especializado o a quien se le asigne.
</t>
    </r>
    <r>
      <rPr>
        <b/>
        <sz val="8"/>
        <color rgb="FF000000"/>
        <rFont val="Calibri"/>
        <scheme val="major"/>
      </rPr>
      <t>Periodicidad:</t>
    </r>
    <r>
      <rPr>
        <sz val="8"/>
        <color rgb="FF000000"/>
        <rFont val="Calibri"/>
        <scheme val="major"/>
      </rPr>
      <t xml:space="preserve"> Por cada servicio según modalidad.
</t>
    </r>
    <r>
      <rPr>
        <b/>
        <sz val="8"/>
        <color rgb="FF000000"/>
        <rFont val="Calibri"/>
        <scheme val="major"/>
      </rPr>
      <t>Evidencia</t>
    </r>
    <r>
      <rPr>
        <sz val="8"/>
        <color rgb="FF000000"/>
        <rFont val="Calibri"/>
        <scheme val="major"/>
      </rPr>
      <t xml:space="preserve">: Registro del formato M-04-F-014 Compromiso de confidencialidad, Acta de reunión diligenciada (E-02-F-005), evidencias adicionales de la reunión operativa (si existen). 
</t>
    </r>
    <r>
      <rPr>
        <b/>
        <sz val="8"/>
        <color rgb="FF000000"/>
        <rFont val="Calibri"/>
        <scheme val="major"/>
      </rPr>
      <t>Desviaciones a las observaciones</t>
    </r>
    <r>
      <rPr>
        <sz val="8"/>
        <color rgb="FF000000"/>
        <rFont val="Calibri"/>
        <scheme val="major"/>
      </rPr>
      <t xml:space="preserve">: En el caso de que se requiera de la participación de un funcionario o contratista adicional para la prestación del servicio, este debe firmar el compromiso de confidencialidad y acogerse a los procedimientos del proceso.
</t>
    </r>
    <r>
      <rPr>
        <b/>
        <sz val="8"/>
        <color rgb="FF000000"/>
        <rFont val="Calibri"/>
        <scheme val="major"/>
      </rPr>
      <t xml:space="preserve">Documentado: </t>
    </r>
    <r>
      <rPr>
        <sz val="8"/>
        <color rgb="FF000000"/>
        <rFont val="Calibri"/>
        <scheme val="major"/>
      </rPr>
      <t>M-04-P-001 PRESTACIÓN DEL SERVICIO DE ASISTENCIA TÉCNICA</t>
    </r>
  </si>
  <si>
    <t xml:space="preserve">Ajustar el control propuesto, agregando el propósito y desviaciones a las observaciones en el procedimiento M-04-P-001 PRESTACIÓN DEL SERVICIO DE ASISTENCIA TÉCNICA y demás documentación que sea requerida. </t>
  </si>
  <si>
    <t xml:space="preserve">Documento actualizado en Isolución. </t>
  </si>
  <si>
    <t>Profesional especializado grado 18 de asistencia técnica</t>
  </si>
  <si>
    <t>Horas de prestación del servicio ejecutadas según lo planeado que permita fortalecer la competitividad y productividad de los procesos productivos o de medición de los usuarios.</t>
  </si>
  <si>
    <t>Se puede presentar cuando se reciba o solicite cualquier dádiva o beneficio a nombre propio o de terceros con el fin de realizar el ocultamiento o no trámite oportuno de una  denuncia/reclamo/queja que afecte directamente a un funcionario debido a sus actuaciones, desviadas del interés público.
Acción u omisión / Uso del poder: No registrar la PQRSD en el sistema OPHELIA a través de los medios disponibles
Beneficio privado: "Favorecer intereses propios o particulares".
Desviar la gestión de lo público: "desviando la gestión de lo público en beneficio de lo privado."</t>
  </si>
  <si>
    <t>Procesos, falta de procedimientos y puntos de control
 Herramientas informáticas
 Intereses particulares</t>
  </si>
  <si>
    <t>Recibir dádivas o tener intereses personales frente a las PQRSD al no registrar la PQRSD en el sistema OPHELIA a través de los medios disponibles</t>
  </si>
  <si>
    <r>
      <rPr>
        <b/>
        <sz val="8"/>
        <rFont val="Calibri"/>
        <family val="2"/>
        <scheme val="minor"/>
      </rPr>
      <t>Control 1</t>
    </r>
    <r>
      <rPr>
        <sz val="8"/>
        <rFont val="Calibri"/>
        <family val="2"/>
        <scheme val="minor"/>
      </rPr>
      <t xml:space="preserve">: Asignar PQRSDF. 
</t>
    </r>
    <r>
      <rPr>
        <b/>
        <sz val="8"/>
        <rFont val="Calibri"/>
        <family val="2"/>
        <scheme val="minor"/>
      </rPr>
      <t>Propósito</t>
    </r>
    <r>
      <rPr>
        <sz val="8"/>
        <rFont val="Calibri"/>
        <family val="2"/>
        <scheme val="minor"/>
      </rPr>
      <t xml:space="preserve">: Identificar quejas y denuncias para dar traslado según competencia.
</t>
    </r>
    <r>
      <rPr>
        <b/>
        <sz val="8"/>
        <rFont val="Calibri"/>
        <family val="2"/>
        <scheme val="minor"/>
      </rPr>
      <t>Responsable</t>
    </r>
    <r>
      <rPr>
        <sz val="8"/>
        <rFont val="Calibri"/>
        <family val="2"/>
        <scheme val="minor"/>
      </rPr>
      <t xml:space="preserve">: Colaborador de la SSMRC encargado de la Unidad de Correspondencia.
</t>
    </r>
    <r>
      <rPr>
        <b/>
        <sz val="8"/>
        <rFont val="Calibri"/>
        <family val="2"/>
        <scheme val="minor"/>
      </rPr>
      <t xml:space="preserve">¿Cómo se realiza el control?: </t>
    </r>
    <r>
      <rPr>
        <sz val="8"/>
        <rFont val="Calibri"/>
        <family val="2"/>
        <scheme val="minor"/>
      </rPr>
      <t xml:space="preserve">Direcciona la comunicación radicada al área o persona que le compete, el mismo día en que se recibe.
</t>
    </r>
    <r>
      <rPr>
        <b/>
        <sz val="8"/>
        <rFont val="Calibri"/>
        <family val="2"/>
        <scheme val="minor"/>
      </rPr>
      <t>Periodicidad</t>
    </r>
    <r>
      <rPr>
        <sz val="8"/>
        <rFont val="Calibri"/>
        <family val="2"/>
        <scheme val="minor"/>
      </rPr>
      <t xml:space="preserve">: Para cada PQRSDF. 
</t>
    </r>
    <r>
      <rPr>
        <b/>
        <sz val="8"/>
        <rFont val="Calibri"/>
        <family val="2"/>
        <scheme val="minor"/>
      </rPr>
      <t>Evidencia</t>
    </r>
    <r>
      <rPr>
        <sz val="8"/>
        <rFont val="Calibri"/>
        <family val="2"/>
        <scheme val="minor"/>
      </rPr>
      <t xml:space="preserve">: Registro en Ophelia SGDEA. Correo electrónico de la cuenta: contacto@inm.gov.co hacia el responsable.
</t>
    </r>
    <r>
      <rPr>
        <b/>
        <sz val="8"/>
        <rFont val="Calibri"/>
        <family val="2"/>
        <scheme val="minor"/>
      </rPr>
      <t>Desviaciones/Observaciones</t>
    </r>
    <r>
      <rPr>
        <sz val="8"/>
        <rFont val="Calibri"/>
        <family val="2"/>
        <scheme val="minor"/>
      </rPr>
      <t xml:space="preserve">: En el momento de la asignación de la PQRSDF en Ophelia SGDEA, de manera simultánea y automática, se direcciona al Colaborador asignado, un correo electrónico de la cuenta: contacto@inm.gov.co, informando el tipo de requerimiento y el tiempo máximo para su respuesta. Nota 1: Los reclamos son direccionados a Dirección General. Nota 2: Las quejas son direccionadas a Secretaría General.
</t>
    </r>
    <r>
      <rPr>
        <b/>
        <sz val="8"/>
        <rFont val="Calibri"/>
        <family val="2"/>
        <scheme val="minor"/>
      </rPr>
      <t>Documentado</t>
    </r>
    <r>
      <rPr>
        <sz val="8"/>
        <rFont val="Calibri"/>
        <family val="2"/>
        <scheme val="minor"/>
      </rPr>
      <t>: Procedimiento E-04-P-001 "PETICIONES, QUEJAS, RECLAMOS, SUGERENCIAS Y DENUNCIAS - PQRSD". Numeral 7. 1. Gestión de PQRSD, actividad 6.</t>
    </r>
  </si>
  <si>
    <t xml:space="preserve">PQRSD gestionadas con oportunidad y efectividad que permitan el acceso oportuno, efectivo y de calidad a la oferta institucional de bienes y servicios. </t>
  </si>
  <si>
    <r>
      <rPr>
        <b/>
        <sz val="8"/>
        <rFont val="Calibri"/>
        <family val="2"/>
        <scheme val="minor"/>
      </rPr>
      <t>Control 2</t>
    </r>
    <r>
      <rPr>
        <sz val="8"/>
        <rFont val="Calibri"/>
        <family val="2"/>
        <scheme val="minor"/>
      </rPr>
      <t xml:space="preserve">: Verificar competencia.
</t>
    </r>
    <r>
      <rPr>
        <b/>
        <sz val="8"/>
        <rFont val="Calibri"/>
        <family val="2"/>
        <scheme val="minor"/>
      </rPr>
      <t>Propósito</t>
    </r>
    <r>
      <rPr>
        <sz val="8"/>
        <rFont val="Calibri"/>
        <family val="2"/>
        <scheme val="minor"/>
      </rPr>
      <t xml:space="preserve">: Asignar o Direccionar al responsable de generar respuesta a PQRSDF con el fin de evitar demoras en el proceso de respuesta y asegurar la competencia para su tratamiento.
</t>
    </r>
    <r>
      <rPr>
        <b/>
        <sz val="8"/>
        <rFont val="Calibri"/>
        <family val="2"/>
        <scheme val="minor"/>
      </rPr>
      <t>Responsable</t>
    </r>
    <r>
      <rPr>
        <sz val="8"/>
        <rFont val="Calibri"/>
        <family val="2"/>
        <scheme val="minor"/>
      </rPr>
      <t xml:space="preserve">: Colaborador responsable del área.
</t>
    </r>
    <r>
      <rPr>
        <b/>
        <sz val="8"/>
        <rFont val="Calibri"/>
        <family val="2"/>
        <scheme val="minor"/>
      </rPr>
      <t xml:space="preserve">¿Cómo se realiza el control?:  </t>
    </r>
    <r>
      <rPr>
        <sz val="8"/>
        <rFont val="Calibri"/>
        <family val="2"/>
        <scheme val="minor"/>
      </rPr>
      <t xml:space="preserve">Determina si la PQRSDF es de competencia del área, en cuyo caso procede así:
- Recibe la información
- Determina y direcciona al responsable para que genere la respuesta.
Si el área o colaborador (responsable) de generar la respuesta considera que no es de su competencia, justifica y devuelve, la misma por medio de Ophelia SGDEA, al Colaborador encargado de la Unidad de Correspondencia, quien ejecuta lo establecido en la actividad 5.
</t>
    </r>
    <r>
      <rPr>
        <b/>
        <sz val="8"/>
        <rFont val="Calibri"/>
        <family val="2"/>
        <scheme val="minor"/>
      </rPr>
      <t>Periodicidad:</t>
    </r>
    <r>
      <rPr>
        <sz val="8"/>
        <rFont val="Calibri"/>
        <family val="2"/>
        <scheme val="minor"/>
      </rPr>
      <t xml:space="preserve"> Para cada PQRSDF. 
</t>
    </r>
    <r>
      <rPr>
        <b/>
        <sz val="8"/>
        <rFont val="Calibri"/>
        <family val="2"/>
        <scheme val="minor"/>
      </rPr>
      <t>Evidencia</t>
    </r>
    <r>
      <rPr>
        <sz val="8"/>
        <rFont val="Calibri"/>
        <family val="2"/>
        <scheme val="minor"/>
      </rPr>
      <t xml:space="preserve">: Registro en Ophelia SGDEA. Correo electrónico.
</t>
    </r>
    <r>
      <rPr>
        <b/>
        <sz val="8"/>
        <rFont val="Calibri"/>
        <family val="2"/>
        <scheme val="minor"/>
      </rPr>
      <t>Desviaciones/Observaciones</t>
    </r>
    <r>
      <rPr>
        <sz val="8"/>
        <rFont val="Calibri"/>
        <family val="2"/>
        <scheme val="minor"/>
      </rPr>
      <t xml:space="preserve">: 
Si un área recibió por equivocación la asignación de una PQRSDF y no la redireccionó máximo al día siguiente de su recibo, esta área deberá asumir todas las actividades de Gestión y Respuesta. Se exceptúa de esta situación las denuncias y las quejas, las cuales son competencia del Oficial del Transparencia y de Secretaría General, respectivamente.
</t>
    </r>
    <r>
      <rPr>
        <b/>
        <sz val="8"/>
        <rFont val="Calibri"/>
        <family val="2"/>
        <scheme val="minor"/>
      </rPr>
      <t>Documentado:</t>
    </r>
    <r>
      <rPr>
        <sz val="8"/>
        <rFont val="Calibri"/>
        <family val="2"/>
        <scheme val="minor"/>
      </rPr>
      <t xml:space="preserve"> Procedimiento E-04-P-001 "PETICIONES, QUEJAS, RECLAMOS, SUGERENCIAS Y DENUNCIAS - PQRSD". Numeral 7. 1. Gestión de PQRSD, actividad 7.</t>
    </r>
  </si>
  <si>
    <r>
      <rPr>
        <b/>
        <sz val="8"/>
        <rFont val="Calibri"/>
        <family val="2"/>
        <scheme val="minor"/>
      </rPr>
      <t>Control 3</t>
    </r>
    <r>
      <rPr>
        <sz val="8"/>
        <rFont val="Calibri"/>
        <family val="2"/>
        <scheme val="minor"/>
      </rPr>
      <t xml:space="preserve">: Revisar, aprobar y enviar respuesta.
</t>
    </r>
    <r>
      <rPr>
        <b/>
        <sz val="8"/>
        <rFont val="Calibri"/>
        <family val="2"/>
        <scheme val="minor"/>
      </rPr>
      <t>Propósito</t>
    </r>
    <r>
      <rPr>
        <sz val="8"/>
        <rFont val="Calibri"/>
        <family val="2"/>
        <scheme val="minor"/>
      </rPr>
      <t xml:space="preserve">: Asegurar la calidad de la respuesta y la oportunidad en los tiempos de contestación de PQRSDF.
</t>
    </r>
    <r>
      <rPr>
        <b/>
        <sz val="8"/>
        <rFont val="Calibri"/>
        <family val="2"/>
        <scheme val="minor"/>
      </rPr>
      <t>Responsable</t>
    </r>
    <r>
      <rPr>
        <sz val="8"/>
        <rFont val="Calibri"/>
        <family val="2"/>
        <scheme val="minor"/>
      </rPr>
      <t xml:space="preserve">: Jefe encargado del área. 
</t>
    </r>
    <r>
      <rPr>
        <b/>
        <sz val="8"/>
        <rFont val="Calibri"/>
        <family val="2"/>
        <scheme val="minor"/>
      </rPr>
      <t>¿Cómo se realiza el control?:</t>
    </r>
    <r>
      <rPr>
        <sz val="8"/>
        <rFont val="Calibri"/>
        <family val="2"/>
        <scheme val="minor"/>
      </rPr>
      <t xml:space="preserve"> Recibe notificación de respuesta proyectada a través del aplicativo OPHELIA SGDEA y revisa los términos en que se presenta la respuesta a la PQRSDF.
Si la respuesta es adecuada a la petición planteada, aprueba la comunicación en el aplicativo OPHELIA SGDEA, generando la respuesta automática al peticionario. De lo contrario, devuelve al colaborador para que realice los ajustes del caso.
La actividad se complementa con lo descrito en el procedimiento A-03-P-003 Recepción, registro y distribución de comunicaciones oficiales enviadas.
</t>
    </r>
    <r>
      <rPr>
        <b/>
        <sz val="8"/>
        <rFont val="Calibri"/>
        <family val="2"/>
        <scheme val="minor"/>
      </rPr>
      <t>Periodicidad</t>
    </r>
    <r>
      <rPr>
        <sz val="8"/>
        <rFont val="Calibri"/>
        <family val="2"/>
        <scheme val="minor"/>
      </rPr>
      <t xml:space="preserve">: Para cada PQRSDF. 
</t>
    </r>
    <r>
      <rPr>
        <b/>
        <sz val="8"/>
        <rFont val="Calibri"/>
        <family val="2"/>
        <scheme val="minor"/>
      </rPr>
      <t>Evidencia:</t>
    </r>
    <r>
      <rPr>
        <sz val="8"/>
        <rFont val="Calibri"/>
        <family val="2"/>
        <scheme val="minor"/>
      </rPr>
      <t xml:space="preserve"> Respuesta de la PQRSDF a través de Ophelia SGDEA.
</t>
    </r>
    <r>
      <rPr>
        <b/>
        <sz val="8"/>
        <rFont val="Calibri"/>
        <family val="2"/>
        <scheme val="minor"/>
      </rPr>
      <t>Desviaciones/Observaciones</t>
    </r>
    <r>
      <rPr>
        <sz val="8"/>
        <rFont val="Calibri"/>
        <family val="2"/>
        <scheme val="minor"/>
      </rPr>
      <t xml:space="preserve">: 
En caso de falla o que el Sistema de información OPHELIA SGDEA se encuentre fuera de operación, se aplica lo establecido en el numeral 6.5. Registro de contingencia para comunicaciones oficiales recibidas del procedimiento A-03-P-001 Recepción, registro y distribución de comunicaciones oficiales enviadas.
</t>
    </r>
    <r>
      <rPr>
        <b/>
        <sz val="8"/>
        <rFont val="Calibri"/>
        <family val="2"/>
        <scheme val="minor"/>
      </rPr>
      <t>Documentado</t>
    </r>
    <r>
      <rPr>
        <sz val="8"/>
        <rFont val="Calibri"/>
        <family val="2"/>
        <scheme val="minor"/>
      </rPr>
      <t>: Procedimiento E-04-P-001 "PETICIONES, QUEJAS, RECLAMOS, SUGERENCIAS Y DENUNCIAS - PQRSD". Numeral 7. 1. Gestión de PQRSD, actividad 11.</t>
    </r>
  </si>
  <si>
    <t>Se puede presentar cuando se beneficia a clientes, funcionarios y contratistas por amiguismo o clientelismo por aceptar promesas o pagos, para omitir o manipular el reporte del seguimiento de los proyectos de inversión del INM, para favorecer intereses propios o particulares desviando la gestión de lo público en beneficio de lo privado.
Uso del Poder: "se puede presentar cuando se beneficia a clientes, funcionarios y contratistas por amiguismo o clientelismo aceptar promesas o pagos. 
Acción u omisión: "omitir o manipular el reporte del seguimiento de los proyectos de inversión del INM"
Desviar la gestión de lo público: "desviando la gestión de lo público en beneficio de lo privado."
Beneficio privado: "Favorecer intereses propios o particulares".</t>
  </si>
  <si>
    <t xml:space="preserve">Falta de integridad y ética por parte del equipo de trabajo. 
Incumplimiento al código de ética por parte del profesional. 
Falta de cumplimiento al procedimiento. 
Desconocimiento por parte de los profesionales en la gestión de los proyectos. </t>
  </si>
  <si>
    <t>Detrimento patrimonial
Afectación negativa de la imagen institucional
Sanciones disciplinarias</t>
  </si>
  <si>
    <t>Control 1: Reportar en la plataforma PIIP, la información relacionada con el seguimiento a los proyectos del proceso, teniendo en cuenta los lineamientos del procedimiento E-01-P-001 FORMULACIÓN, REGISTRO Y SEGUIMIENTO DE PROYECTOS DE INVERSIÓN y los lineamientos del DNP. 
Propósito: Reportar la información de los proyectos en el aplicativo PIIP de manera coherente, veraz y pertinente respecto a las metas, presupuesto y actividades establecidas para el avance en la ejecución de los proyectos de inversión. 
Responsable: Gerente del proyecto o a quien este designe.
Periodicidad: Mensual. 
Evidencia: Reporte diligenciado en el aplicativo PIIP
Desviaciones/Observaciones: En los casos en que no se pueda registrar el seguimiento en la PIIP por error en la plataforma, se crea un caso ante la mesa de ayuda del DNP, como soporte. 
Documentado: Procedimiento E-01-P-001 FORMULACIÓN, REGISTRO Y SEGUIMIENTO DE PROYECTOS DE INVERSIÓN</t>
  </si>
  <si>
    <t>1.  Actualizar el Procedimiento E-01-P-001 con la inclusión de la actividad de las Desviaciones/Observaciones de este control y socializarlo en las mesas de armonización de criterios con los responsables de cada área / coordinadores</t>
  </si>
  <si>
    <t>1. Procedimiento actualizado en Isolución</t>
  </si>
  <si>
    <t>Luis Hernando Vargas</t>
  </si>
  <si>
    <t>Seguimientos mensuales a los proyectos de inversión en la herramienta PIIP para el cumplimiento en la ejecución del proyecto</t>
  </si>
  <si>
    <t>Control 2: Revisar la correcta aplicación y desarrollo de la Metodología de ejecución y seguimiento de los proyectos del INM, evaluando la coherencia de la cadena de valor formulada para los proyectos, teniendo en cuenta los lineamientos del procedimiento E-01-P-001 FORMULACIÓN, REGISTRO Y SEGUIMIENTO DE PROYECTOS DE INVERSIÓN. 
Propósito: Verificar que la información registrada en el aplicativo PIIP en cada uno de los proyectos sea coherente, veraz y pertinente respecto a las metas, presupuesto y actividades establecidas para el avance en la ejecución de los proyectos de inversión. 
Responsable: Profesional Especializado grado 14 de la OAP.
Periodicidad: Mensual. 
Evidencia: Registro del formato E-01-F-006 RESUMEN EJECUTIVO PROYECTO DE INVERSIÓN / Registro en el aplicativo PIIP
Desviaciones/Observaciones: En los casos de existir inconsistencia en la ejecución y seguimiento, el Profesional Especializado grado 14 de la OAP envía correo electrónico al responsable del área con las observaciones realizadas y si es el caso, se programan mesas de trabajo para que sean corregidas por el área técnica.
Documentado: Procedimiento E-01-P-001 FORMULACIÓN, REGISTRO Y SEGUIMIENTO DE PROYECTOS DE INVERSIÓN</t>
  </si>
  <si>
    <t>1.  Actualizar el Procedimiento E-01-P-001 con la actualización  de estos controles establecidos y socializarlo a los responsables de cada área / coordinadores. (Adicionar actividad relacionada con la gestión correspondiente por parte del INM en los casos en que el ministerio o el DNP realice comentarios sobre el seguimiento a los proyectos y en los traslados presupuestales)</t>
  </si>
  <si>
    <t>Se puede presentar cuando se beneficia a clientes, funcionarios y contratistas por amiguismo o clientelismo por aceptar promesas o pagos, para tramitar traslados presupuestales sin el cumplimiento de requisitos y de la cadena de valor en la ejecución de los proyectos del INM, para favorecer intereses propios o particulares desviando la gestión de lo público en beneficio de lo privado.
Acción u omisión: "tramitar traslados presupuestales sin el cumplimiento de requisitos y de la cadena de valor en la ejecución de los proyectos.
Beneficio privado: "Favorecer intereses propios o particulares".
Desviar la gestión de lo público: "desviando la gestión de lo público en beneficio de lo privado."</t>
  </si>
  <si>
    <t>Seguimientos mensuales a los proyectos de inversión en la herramienta PIIP para el cumplimiento en la ejecución del proyecto (OAP)
Expedición de CDP dentro de las 24 horas posteriores a la solicitud recibida para la gestión eficiente, oportuna, transparente y permanente de los recursos financieros del INM fortaleciendo la capacidad administrativa y de desempeño institucional.  (Gestión financiera)</t>
  </si>
  <si>
    <t>Control 2: Revisar la correcta aplicación y desarrollo de la Metodología para los traslados de los proyectos del INM, evaluando la coherencia de la cadena de valor formulada para los proyectos, teniendo en cuenta los lineamientos del procedimiento E-01-P-001 FORMULACIÓN, REGISTRO Y SEGUIMIENTO DE PROYECTOS DE INVERSIÓN. 
Propósito: Verificar que la información registrada en el aplicativo PIIP en cada uno de los proyectos sea coherente, veraz y pertinente respecto a las metas, presupuesto y actividades establecidas para el traslado presupuestal  de los proyectos de inversión. 
Responsable: Profesional Especializado grado 14 de la OAP.
Periodicidad: Cada vez que se solicite un traslado presupuestal. 
Evidencia:   Registro en el aplicativo PIIP / Registro del formato E-01-F-005 ACTUALIZACIÓN PLAN DE INVERSIÓN. 
Desviaciones/Observaciones: En los casos de existir inconsistencia en la información del traslado, el Profesional Especializado grado 14 de la OAP envía correo electrónico al responsable del área con las observaciones realizadas y si es el caso, se programan mesas de trabajo para que sean corregidas por el área técnica.
Documentado: Procedimiento E-01-P-001 FORMULACIÓN, REGISTRO Y SEGUIMIENTO DE PROYECTOS DE INVERSIÓN.</t>
  </si>
  <si>
    <t>1.  Actualizar el Procedimiento E-01-P-001 con la actualización  de estos controles establecidos y socializarlo con los responsables de cada área / coordinadores. (Adicionar actividad relacionada con la gestión correspondiente por parte del INM en los casos en que el ministerio o el DNP realice comentarios sobre el seguimiento a los proyectos y en los traslados presupuestales)</t>
  </si>
  <si>
    <t>Control 3: Realizar el traslado presupuestal teniendo en cuenta los lineamientos establecidos en el procedimiento A-01-P-004 TRASLADOS MODIFICACIONES PRESUPUESTALES.
Propósito: Prevenir errores en la expedición del CDP y la solicitud de traslado presupuestal, que ocasionen reiniciar nuevamente el trámite.
Responsable: Profesional con Funciones de Presupuesto de gestión financiera. 
Periodicidad: Cada vez que se solicite un traslado presupuestal. 
Evidencia: CDP expedido y Solicitud de traslado presupuestal expedida.
Correo electrónico.
Desviaciones/Observaciones: En los casos de existir inconsistencia en la información del traslado, el profesional con funciones de presupuesto de gestión financiera envía correo electrónico al responsable del área con las observaciones realizadas para que sean corregidas por el área técnica.
Documentado: Procedimiento A-01-P-004 TRASLADOS MODIFICACIONES PRESUPUESTALES.</t>
  </si>
  <si>
    <r>
      <t xml:space="preserve">Se manifiesta al favorecer u otorgar priorización de proyectos con criterios no técnicos, sino motivados por intereses personales o de terceros, durante la adquisición,. desarrollo o mantenimiento de soluciones tecnológicas.
La falta de transparencia para este riesgo esta asociada a los siguientes aspectos: 
</t>
    </r>
    <r>
      <rPr>
        <b/>
        <sz val="10"/>
        <color rgb="FF000000"/>
        <rFont val="Calibri"/>
        <family val="2"/>
        <scheme val="minor"/>
      </rPr>
      <t>1. Acción u omisión:
Acción</t>
    </r>
    <r>
      <rPr>
        <sz val="10"/>
        <color rgb="FF000000"/>
        <rFont val="Calibri"/>
        <family val="2"/>
        <scheme val="minor"/>
      </rPr>
      <t xml:space="preserve">: Adquisición, mantenimiento o desarrollos de soluciones tecnológicas sin fundamento técnico. Priorización de adquisiciones, desarrollos o mantenimientos no alineados con los objetivos institucionales. 
</t>
    </r>
    <r>
      <rPr>
        <b/>
        <sz val="10"/>
        <color rgb="FF000000"/>
        <rFont val="Calibri"/>
        <family val="2"/>
        <scheme val="minor"/>
      </rPr>
      <t>Omisión:</t>
    </r>
    <r>
      <rPr>
        <sz val="10"/>
        <color rgb="FF000000"/>
        <rFont val="Calibri"/>
        <family val="2"/>
        <scheme val="minor"/>
      </rPr>
      <t xml:space="preserve"> Falta de documentación o registros adecuados sobre los cambios realizados, ausencia de controles o revisiones técnicas rigurosas para la toma de decisiones, ocultamiento de intereses, la omisión de información relevante. 
</t>
    </r>
    <r>
      <rPr>
        <b/>
        <sz val="10"/>
        <color rgb="FF000000"/>
        <rFont val="Calibri"/>
        <family val="2"/>
        <scheme val="minor"/>
      </rPr>
      <t xml:space="preserve">2. Beneficio privado:
</t>
    </r>
    <r>
      <rPr>
        <sz val="10"/>
        <color rgb="FF000000"/>
        <rFont val="Calibri"/>
        <family val="2"/>
        <scheme val="minor"/>
      </rPr>
      <t xml:space="preserve">Favorecer intereses personales o de terceros al manipular información o resultados de los sistemas.
Obtener beneficios económicos o políticos a través de la priorización de desarrollos/mantenimientos/adquisiciones que beneficien agendas particulares, no institucionales.
</t>
    </r>
    <r>
      <rPr>
        <b/>
        <sz val="10"/>
        <color rgb="FF000000"/>
        <rFont val="Calibri"/>
        <family val="2"/>
        <scheme val="minor"/>
      </rPr>
      <t xml:space="preserve">3. Desvío de recursos públicos a intereses privados:
</t>
    </r>
    <r>
      <rPr>
        <sz val="10"/>
        <color rgb="FF000000"/>
        <rFont val="Calibri"/>
        <family val="2"/>
        <scheme val="minor"/>
      </rPr>
      <t>Uso del tiempo, talento humano y presupuesto institucional para el desarrollo/mantenimiento/adquisición de sistemas que no responden al interés general o necesidades organizacionales, sino a agendas particulares.
Riesgo de corrupción sistemática al facultar alteraciones en la integridad de los sistemas de soporte de información de interés y gestión pública sin fundamentos que respondan al interés común o de la entidad.  manipulación de decisiones técnicas en beneficio propio o de terceros.</t>
    </r>
  </si>
  <si>
    <r>
      <rPr>
        <b/>
        <sz val="8"/>
        <color rgb="FF000000"/>
        <rFont val="Calibri"/>
        <family val="2"/>
        <scheme val="minor"/>
      </rPr>
      <t>Código fuente de los sistemas</t>
    </r>
    <r>
      <rPr>
        <sz val="8"/>
        <color rgb="FF000000"/>
        <rFont val="Calibri"/>
        <family val="2"/>
        <scheme val="minor"/>
      </rPr>
      <t xml:space="preserve">, por introducción de funcionalidades o modificaciones no soportadas técnicamente que afectarían la integridad y trazabilidad 
</t>
    </r>
    <r>
      <rPr>
        <b/>
        <sz val="8"/>
        <color rgb="FF000000"/>
        <rFont val="Calibri"/>
        <family val="2"/>
        <scheme val="minor"/>
      </rPr>
      <t>Documentación técnica y funcional de los sistemas.</t>
    </r>
    <r>
      <rPr>
        <sz val="8"/>
        <color rgb="FF000000"/>
        <rFont val="Calibri"/>
        <family val="2"/>
        <scheme val="minor"/>
      </rPr>
      <t xml:space="preserve"> Si no se documentan adecuadamente los cambios o se omiten deliberadamente, se debilita el control institucional.
</t>
    </r>
    <r>
      <rPr>
        <b/>
        <sz val="8"/>
        <color rgb="FF000000"/>
        <rFont val="Calibri"/>
        <family val="2"/>
        <scheme val="minor"/>
      </rPr>
      <t xml:space="preserve">Bases de datos institucionales,  </t>
    </r>
    <r>
      <rPr>
        <sz val="8"/>
        <color rgb="FF000000"/>
        <rFont val="Calibri"/>
        <family val="2"/>
        <scheme val="minor"/>
      </rPr>
      <t xml:space="preserve">por la alteración o manipulación de la información almacenada, se afecta la integridad y confiabilidad de los datos.
</t>
    </r>
    <r>
      <rPr>
        <b/>
        <sz val="8"/>
        <color rgb="FF000000"/>
        <rFont val="Calibri"/>
        <family val="2"/>
        <scheme val="minor"/>
      </rPr>
      <t>Sistema de control de versiones (repositorios)</t>
    </r>
    <r>
      <rPr>
        <sz val="8"/>
        <color rgb="FF000000"/>
        <rFont val="Calibri"/>
        <family val="2"/>
        <scheme val="minor"/>
      </rPr>
      <t xml:space="preserve">, comprometiendo la trazabilidad por cambios no autorizados y la transparencia en la administración de los aplicativos.
</t>
    </r>
    <r>
      <rPr>
        <b/>
        <sz val="8"/>
        <color rgb="FF000000"/>
        <rFont val="Calibri"/>
        <family val="2"/>
        <scheme val="minor"/>
      </rPr>
      <t xml:space="preserve">Planes de desarrollo y priorización de proyectos </t>
    </r>
    <r>
      <rPr>
        <sz val="8"/>
        <color rgb="FF000000"/>
        <rFont val="Calibri"/>
        <family val="2"/>
        <scheme val="minor"/>
      </rPr>
      <t>Priorizando proyectos con criterios no técnicos, se compromete la objetividad del portafolio tecnológico, favoreciendo intereses particulaes.</t>
    </r>
  </si>
  <si>
    <r>
      <rPr>
        <b/>
        <sz val="8"/>
        <color rgb="FF000000"/>
        <rFont val="Calibri"/>
        <family val="2"/>
        <scheme val="minor"/>
      </rPr>
      <t>Presiones de terceros externos</t>
    </r>
    <r>
      <rPr>
        <sz val="8"/>
        <color rgb="FF000000"/>
        <rFont val="Calibri"/>
        <family val="2"/>
        <scheme val="minor"/>
      </rPr>
      <t xml:space="preserve"> (proveedores, contratistas, grupos de interés) que buscan que los sistemas se orienten a facilitar sus intereses particulares.
</t>
    </r>
    <r>
      <rPr>
        <b/>
        <sz val="8"/>
        <color rgb="FF000000"/>
        <rFont val="Calibri"/>
        <family val="2"/>
        <scheme val="minor"/>
      </rPr>
      <t>Exigencias políticas o institucionales no técnicas</t>
    </r>
    <r>
      <rPr>
        <sz val="8"/>
        <color rgb="FF000000"/>
        <rFont val="Calibri"/>
        <family val="2"/>
        <scheme val="minor"/>
      </rPr>
      <t xml:space="preserve"> que dejan espacio para decisiones discrecionales sin justificación técnica sólida.</t>
    </r>
  </si>
  <si>
    <r>
      <rPr>
        <b/>
        <sz val="8"/>
        <color rgb="FF000000"/>
        <rFont val="Calibri"/>
        <family val="2"/>
        <scheme val="minor"/>
      </rPr>
      <t>Falta de segregación de funciones</t>
    </r>
    <r>
      <rPr>
        <sz val="8"/>
        <color rgb="FF000000"/>
        <rFont val="Calibri"/>
        <family val="2"/>
        <scheme val="minor"/>
      </rPr>
      <t xml:space="preserve">. El mismo funcionario desarrolla, prueba, aprueba y despliega el sistema sin revisión independiente o supervisión.
</t>
    </r>
    <r>
      <rPr>
        <b/>
        <sz val="8"/>
        <color rgb="FF000000"/>
        <rFont val="Calibri"/>
        <family val="2"/>
        <scheme val="minor"/>
      </rPr>
      <t>Debilidad en los controles de supervisión, auditoría técnica, o trazabilidad del ciclo de vida</t>
    </r>
    <r>
      <rPr>
        <sz val="8"/>
        <color rgb="FF000000"/>
        <rFont val="Calibri"/>
        <family val="2"/>
        <scheme val="minor"/>
      </rPr>
      <t xml:space="preserve">.
</t>
    </r>
    <r>
      <rPr>
        <b/>
        <sz val="8"/>
        <color rgb="FF000000"/>
        <rFont val="Calibri"/>
        <family val="2"/>
        <scheme val="minor"/>
      </rPr>
      <t xml:space="preserve">Ausencia de lineamientos claros para la priorización de proyectos
</t>
    </r>
    <r>
      <rPr>
        <sz val="8"/>
        <color rgb="FF000000"/>
        <rFont val="Calibri"/>
        <family val="2"/>
        <scheme val="minor"/>
      </rPr>
      <t xml:space="preserve">
</t>
    </r>
    <r>
      <rPr>
        <b/>
        <sz val="8"/>
        <color rgb="FF000000"/>
        <rFont val="Calibri"/>
        <family val="2"/>
        <scheme val="minor"/>
      </rPr>
      <t>Cultura organizacional permisiva con decisiones informales</t>
    </r>
  </si>
  <si>
    <t>Manipulación intencional en la gestión de los sistemas de información institucional para favorecer intereses particulares.
Asociada a abuso de privilegios, conflicto de intereses y vulneración de principios de transparencia y legalidad.</t>
  </si>
  <si>
    <t>No existen procedimientos claros y obligatorios para la trazabilidad de cambios o requerimientos funcionales.
Falta de criterios objetivos para la priorización de desarrollos o mejoras
La asignación de recursos para proyectos tecnológicos se hace sin metodología ni trazabilidad, dejando espacio a la discrecionalidad y posibles conflictos de interés.</t>
  </si>
  <si>
    <t>Alteración o manipulación de sistemas institucionales de forma unilateral, lo que compromete la transparencia, la legalidad y la confiabilidad de la información institucional, favoreciendo intereses particulares
Detrimentro patrimonial</t>
  </si>
  <si>
    <r>
      <rPr>
        <b/>
        <sz val="10"/>
        <color rgb="FF000000"/>
        <rFont val="Calibri"/>
        <scheme val="minor"/>
      </rPr>
      <t xml:space="preserve">Control 1: </t>
    </r>
    <r>
      <rPr>
        <sz val="10"/>
        <color rgb="FF000000"/>
        <rFont val="Calibri"/>
        <scheme val="minor"/>
      </rPr>
      <t xml:space="preserve">Revisión participativa y justificación técnica de solicitudes de desarrollo, mantenimiento o adquisición de software.
</t>
    </r>
    <r>
      <rPr>
        <b/>
        <sz val="10"/>
        <color rgb="FF000000"/>
        <rFont val="Calibri"/>
        <scheme val="minor"/>
      </rPr>
      <t>Propósito:</t>
    </r>
    <r>
      <rPr>
        <sz val="10"/>
        <color rgb="FF000000"/>
        <rFont val="Calibri"/>
        <scheme val="minor"/>
      </rPr>
      <t xml:space="preserve"> Garantizar que las decisiones asociadas a iniciativas de desarrollo, mantenimiento o adquisición de software cuenten con un fundamento técnico transparente, objetivo y verificable, evitando la inclusión de requerimientos sesgados, innecesarios o injustificados que puedan favorecer intereses particulares o generar riesgos de corrupción. 
</t>
    </r>
    <r>
      <rPr>
        <b/>
        <sz val="10"/>
        <color rgb="FF000000"/>
        <rFont val="Calibri"/>
        <scheme val="minor"/>
      </rPr>
      <t>Responsable</t>
    </r>
    <r>
      <rPr>
        <sz val="10"/>
        <color rgb="FF000000"/>
        <rFont val="Calibri"/>
        <scheme val="minor"/>
      </rPr>
      <t xml:space="preserve">: Coordinador Arquitectura TI / Analista de requerimientos - OIDT
</t>
    </r>
    <r>
      <rPr>
        <b/>
        <sz val="10"/>
        <color rgb="FF000000"/>
        <rFont val="Calibri"/>
        <scheme val="minor"/>
      </rPr>
      <t>¿Cómo se hace el control?:</t>
    </r>
    <r>
      <rPr>
        <sz val="10"/>
        <color rgb="FF000000"/>
        <rFont val="Calibri"/>
        <scheme val="minor"/>
      </rPr>
      <t xml:space="preserve"> Antes del inicio de las etapas de análisis o diseño de software, la OIDT convoca una sesión del Grupo Interno de Trabajo de Arquitectura de T.I. para la revisión de la solicitud presentada. Se analiza como mínimo la justificación técnica de la solicitud, su alineación con la arquitectura tecnológica institucional, los requerimientos funcionales, no funcionales, de infraestructura y desempeño, y las expectativas y alcance de uso de la solución, posibles riesgos de corrupción asociados.
</t>
    </r>
    <r>
      <rPr>
        <b/>
        <sz val="10"/>
        <color rgb="FF000000"/>
        <rFont val="Calibri"/>
        <scheme val="minor"/>
      </rPr>
      <t>Periodicidad:</t>
    </r>
    <r>
      <rPr>
        <sz val="10"/>
        <color rgb="FF000000"/>
        <rFont val="Calibri"/>
        <scheme val="minor"/>
      </rPr>
      <t xml:space="preserve"> Cada vez que se radique una iniciativa de desarrollo, mantenimiento o adquisición de software.
</t>
    </r>
    <r>
      <rPr>
        <b/>
        <sz val="10"/>
        <color rgb="FF000000"/>
        <rFont val="Calibri"/>
        <scheme val="minor"/>
      </rPr>
      <t>Evidencia:</t>
    </r>
    <r>
      <rPr>
        <sz val="10"/>
        <color rgb="FF000000"/>
        <rFont val="Calibri"/>
        <scheme val="minor"/>
      </rPr>
      <t xml:space="preserve"> Registro de aprobación del Grupo Interno de Trabajo de Arquitectura TI y E-05-F-018 ESPECIFICACIÓN DE REQUERIMIENTOS DE SOFTWARE.
</t>
    </r>
    <r>
      <rPr>
        <b/>
        <sz val="10"/>
        <color rgb="FF000000"/>
        <rFont val="Calibri"/>
        <scheme val="minor"/>
      </rPr>
      <t xml:space="preserve">Desviaciones/Observaciones: </t>
    </r>
    <r>
      <rPr>
        <sz val="10"/>
        <color rgb="FF000000"/>
        <rFont val="Calibri"/>
        <scheme val="minor"/>
      </rPr>
      <t xml:space="preserve">Previo al inicio a las etapas de análisis de requerimiento y diseño de software es fundamental la definición de propósito del proyecto, la identificación de las expectativas, el alcance de uso a la solución requerida, el adecuado entendimiento y claridad de las funcionalidades, los requisitos en infraestructura tecnológica, los comportamientos a futuro con su entrada en producción y demás requisitos de rendimiento y desempeño esperados por todas las partes interesadas involucradas en el proceso. El control permite determinar la pertinencia y justificación técnica que facultará la aprobación de la iniciativa de interés institucional propuesta.
</t>
    </r>
    <r>
      <rPr>
        <b/>
        <sz val="10"/>
        <color rgb="FF000000"/>
        <rFont val="Calibri"/>
        <scheme val="minor"/>
      </rPr>
      <t>Documentado</t>
    </r>
    <r>
      <rPr>
        <sz val="10"/>
        <color rgb="FF000000"/>
        <rFont val="Calibri"/>
        <scheme val="minor"/>
      </rPr>
      <t>: 	E-05-P-013 Adquisición, Desarrollo y Mantenimiento de Software y Automatización de Mediciones ; E-05-I-021 INSTRUCTIVO METODOLOGÍA PARA EL CICLO DE VIDA DE DESARROLLO DE SOFTWARE DEL INM</t>
    </r>
  </si>
  <si>
    <t>Evaluar la viabilidad técnica, operativa y estratégica de las iniciativas presentadas, considerando capacidades, recursos y alineación con el direccionamiento del Área, para prevenir la aprobación de proyectos inviables, no alineados o sin fundamento práctico.</t>
  </si>
  <si>
    <t>Diligenciamiento y firma de documentos de registro de aprobación de la OIDT o del Comité de Arquitectura TI y E-05-F-018 ESPECIFICACIÓN DE REQUERIMIENTOS DE SOFTWARE para cada proyecto</t>
  </si>
  <si>
    <t>Analista de requerimientos - OIDT.</t>
  </si>
  <si>
    <r>
      <rPr>
        <sz val="8"/>
        <color rgb="FF000000"/>
        <rFont val="Calibri"/>
        <family val="2"/>
        <scheme val="minor"/>
      </rPr>
      <t xml:space="preserve">Porcentaje de requerimientos validados = (No. proyectos de soluciones tecnológicas  ejecutados con aprobación y requerimientos documentados/No. total proyectos de soluciones tecnológicas ejecutados)*100
El 100% de los proyectos de desarrollo de soluciones tecnológicas deben estar acompañadas de la aprobación del Comité de Arquietctura de TI y documentación de requerimentos.
</t>
    </r>
  </si>
  <si>
    <t> </t>
  </si>
  <si>
    <t xml:space="preserve">Relacionado con acceso indebido a la información confidencial o clasificada para usarla con fines personales o de terceros, o la intervención técnica con el fin de ocultar información, deshabilitar controles o permitir conexiones o accesos no autorizados.
1. Acción u omisión:
Acción: Acceso, copia, modificación o divulgación no autorizada de información confidencial; intervención técnica para eliminar rastros de actividad, desactivar controles de seguridad, o crear accesos ocultos.
Omisión: No aplicar protocolos de seguridad idóneos, no registrar ni reportar accesos indebidos, permitir negligentemente fallas en los controles.
2. Beneficio privado:
Uso de información privilegiada para favorecer decisiones personales o de terceros.
Ocultamiento de datos o evidencia que pueda comprometer a funcionarios o aliados.
Facilitar el acceso a la información a actores externos o no autorizados con intereses particulares 
3. Desvío de recursos públicos a intereses privados:
Mal uso de la infraestructura tecnológica con fines distintos al interés público.
Posible manipulación o eliminación de datos, registros, seguimientos, evidencia de auditorías ó investigaciones internas o externas.
Compromiso de la integridad institucional al facilitar la interferencia de terceros.
</t>
  </si>
  <si>
    <t>Información confidencial o clasificada. Compromete la integridad y privacidad de datos personales, técnicos, financieros o estratégicos cuya divulgación o uso indebido representa un alto riesgo para la entidad.
Sistemas de gestión documental. Pueden ser intervenidos para eliminar, ocultar o modificar registros institucionales.
Logs de auditoría y trazabilidad de accesos. Su alteración u omisión impide detectar accesos indebidos o acciones irregulares.
Controles de acceso lógico (credenciales, roles, permisos). Pueden ser manipulados para otorgar acceso a personas no autorizadas.
Infraestructura de red y servidores. Si se crean accesos no autorizados, poniendo en riesgo la seguridad de la plataforma tecnológica.
Políticas y configuraciones de seguridad. Si son deshabilitadas o ignoradas, se afectan los mecanismos de protección de los activos de información.</t>
  </si>
  <si>
    <t>Interés de terceros en obtener información estratégica o confidencial
Empresas, contratistas o particulares con motivación para acceder a datos sensibles.
Ataques externos o actores maliciosos
Presiones indebidas para alterar, ocultar o borrar información en contextos de procesos sancionatorios, disciplinarios o contractuales.</t>
  </si>
  <si>
    <t>Controles de acceso mal implementados o desactualizados
Bajo conocimiento del personal sobre el manejo adecuado de la información clasificada.
Infraestructura tecnológica obsoleta o sin mantenimiento
Ausencia de monitoreo continuo y alertas de incidentes
Escasa independencia del área de seguridad respecto a la operación
Inadecuada gestión de usuarios privilegiados (administradores) que permite acciones no autorizadas difíciles de rastrear o controlar.</t>
  </si>
  <si>
    <t>Acceso, modificación o uso indebido de información clasificada o confidencial con fines personales o de terceros.
Se materializa cuando personas autorizadas o no autorizadas logran acceder, manipular o sustraer información institucional sensible para:
-Usarla con fines particulares o económicos.
-Ocultar hechos o evidencias en procesos investigativos, disciplinarios o de control (auditorías).
-Facilitar accesos no autorizados (puertas traseras, usuarios fantasmas, cuentas paralelas).</t>
  </si>
  <si>
    <t>Gestión deficiente de accesos y privilegios. Existen usuarios con permisos excesivos o no justificados, y no se aplica el principio de mínimo privilegio ni revisión periódica de accesos.
No se detectan ni registran adecuadamente intentos de acceso inusual, cambios en configuraciones, ni otras señales de posibles incidentes.
Debilidad en la cultura de seguridad de la información</t>
  </si>
  <si>
    <t>Exposición de datos sensibles que afectan derechos de personas o decisiones estratégicas.
Obstaculización de procesos disciplinarios, jurídicos o de control.
Sanciones por incumplimiento de normas de protección de datos o seguridad de la información.
Pérdida de credibilidad institucional.</t>
  </si>
  <si>
    <r>
      <rPr>
        <b/>
        <sz val="10"/>
        <color rgb="FF000000"/>
        <rFont val="Calibri"/>
        <scheme val="minor"/>
      </rPr>
      <t>Control 1</t>
    </r>
    <r>
      <rPr>
        <sz val="10"/>
        <color rgb="FF000000"/>
        <rFont val="Calibri"/>
        <scheme val="minor"/>
      </rPr>
      <t xml:space="preserve">: </t>
    </r>
    <r>
      <rPr>
        <b/>
        <sz val="10"/>
        <color rgb="FF000000"/>
        <rFont val="Calibri"/>
        <scheme val="minor"/>
      </rPr>
      <t>Configuración de recursos compartidos 
Propósito:</t>
    </r>
    <r>
      <rPr>
        <sz val="10"/>
        <color rgb="FF000000"/>
        <rFont val="Calibri"/>
        <scheme val="minor"/>
      </rPr>
      <t xml:space="preserve"> Asegurar que solo los usuarios autorizados, con los permisos correspondientes, accedan a los recursos compartidos y sistemas de información, limitando el acceso a información técnica y datos confidenciales según el rol o función del usuario (autorizados).
</t>
    </r>
    <r>
      <rPr>
        <b/>
        <sz val="10"/>
        <color rgb="FF000000"/>
        <rFont val="Calibri"/>
        <scheme val="minor"/>
      </rPr>
      <t xml:space="preserve">Responsable: </t>
    </r>
    <r>
      <rPr>
        <sz val="10"/>
        <color rgb="FF000000"/>
        <rFont val="Calibri"/>
        <scheme val="minor"/>
      </rPr>
      <t xml:space="preserve">Profesionales de la mesa de servicio.
</t>
    </r>
    <r>
      <rPr>
        <b/>
        <sz val="10"/>
        <color rgb="FF000000"/>
        <rFont val="Calibri"/>
        <scheme val="minor"/>
      </rPr>
      <t>¿Cómo se realiza el control?:</t>
    </r>
    <r>
      <rPr>
        <sz val="10"/>
        <color rgb="FF000000"/>
        <rFont val="Calibri"/>
        <scheme val="minor"/>
      </rPr>
      <t xml:space="preserve"> El personal responsable de la dependencia debe diligenciar el formulario "recursos compartidos" en GLPI. La mesa de servicio procederá a realizar la verificación de las autorizaciones en GLPI. Una vez creado el recurso se inicia la asignación de permisos de acuerdo con los usuarios registrados en el directorio activo y la información suministrada en la solicitud.
</t>
    </r>
    <r>
      <rPr>
        <b/>
        <sz val="10"/>
        <color rgb="FF000000"/>
        <rFont val="Calibri"/>
        <scheme val="minor"/>
      </rPr>
      <t xml:space="preserve">Periodicidad: </t>
    </r>
    <r>
      <rPr>
        <sz val="10"/>
        <color rgb="FF000000"/>
        <rFont val="Calibri"/>
        <scheme val="minor"/>
      </rPr>
      <t xml:space="preserve">Cada vez que se genere una solicitud de acceso a recursos compartidos.
</t>
    </r>
    <r>
      <rPr>
        <b/>
        <sz val="10"/>
        <color rgb="FF000000"/>
        <rFont val="Calibri"/>
        <scheme val="minor"/>
      </rPr>
      <t>Evidencia</t>
    </r>
    <r>
      <rPr>
        <sz val="10"/>
        <color rgb="FF000000"/>
        <rFont val="Calibri"/>
        <scheme val="minor"/>
      </rPr>
      <t xml:space="preserve">: Trazabilidad del caso registrado en Sistema de Información GLPI, con autorizaciones por parte del personal avalado para este proceso.
</t>
    </r>
    <r>
      <rPr>
        <b/>
        <sz val="10"/>
        <color rgb="FF000000"/>
        <rFont val="Calibri"/>
        <scheme val="minor"/>
      </rPr>
      <t>Desviaciones/observaciones:</t>
    </r>
    <r>
      <rPr>
        <sz val="10"/>
        <color rgb="FF000000"/>
        <rFont val="Calibri"/>
        <scheme val="minor"/>
      </rPr>
      <t xml:space="preserve"> Si la solicitud no es emitida directamente por el responsable de otorgar la autorización, la OIDT enviará una solicitud de validación dirigida al Director(a) General, Secretario(a) General, Subdirectores, Jefes de Oficina, Coordinadores y/o Supervisores de Contrato autorizado. El proceso continuará únicamente si se confirma dicha autorización. En caso contrario se cerrará el caso.
</t>
    </r>
    <r>
      <rPr>
        <b/>
        <sz val="10"/>
        <color rgb="FF000000"/>
        <rFont val="Calibri"/>
        <scheme val="minor"/>
      </rPr>
      <t xml:space="preserve">Documento:  </t>
    </r>
    <r>
      <rPr>
        <sz val="10"/>
        <color rgb="FF000000"/>
        <rFont val="Calibri"/>
        <scheme val="minor"/>
      </rPr>
      <t>E-05-I-010 CONFIGURACIÓN DE RECURSOS COMPARTIDOS</t>
    </r>
  </si>
  <si>
    <t>Validar las condiciones de aprobación de las solicitudes de acceso a recursos compartidos, verificando que sean tramitadas por el supervisor autorizado o cuenten con la validación correspondiente. En los casos que no cumplan con estas condiciones, el equipo de Mesa de Soporte debe generar la solicitud formal de autorización de acceso dirigida al supervisor correspondiente, conforme a la información registrada en el directorio activo.</t>
  </si>
  <si>
    <t>Registro de caso GLPI para la categoría "Recursos compartidos"</t>
  </si>
  <si>
    <t xml:space="preserve">Equpo Mesa de Soporte
</t>
  </si>
  <si>
    <r>
      <rPr>
        <b/>
        <sz val="8"/>
        <color rgb="FF000000"/>
        <rFont val="Calibri"/>
        <family val="2"/>
        <scheme val="minor"/>
      </rPr>
      <t>Porcentaje de solicitudes de acceso a recursos compartidos autorizadas =</t>
    </r>
    <r>
      <rPr>
        <sz val="8"/>
        <color rgb="FF000000"/>
        <rFont val="Calibri"/>
        <family val="2"/>
        <scheme val="minor"/>
      </rPr>
      <t xml:space="preserve"> (No. solicitudes a recursos compartidos gestionadas con aprobación de supervisor responsable/ No. solicitudes de acceso a recursos compartidos gestionadas)
El 100% de las solicitudes tramitadas para acceso a recursos compartidos deben estar acompañadas de la autorización del supervisor responsable, de acuerdo a lo indicado en el Directorio Activo.</t>
    </r>
  </si>
  <si>
    <r>
      <rPr>
        <b/>
        <sz val="10"/>
        <color rgb="FF000000"/>
        <rFont val="Calibri"/>
        <family val="2"/>
        <scheme val="minor"/>
      </rPr>
      <t>Control 2: Firmar acuerdo de confidencialidad en el uso de la información
Propósito:</t>
    </r>
    <r>
      <rPr>
        <sz val="10"/>
        <color rgb="FF000000"/>
        <rFont val="Calibri"/>
        <family val="2"/>
        <scheme val="minor"/>
      </rPr>
      <t xml:space="preserve"> Suscribir los lineamientos con el fin de mitigar el uso indebido de información confidencial generada en la entidad.
</t>
    </r>
    <r>
      <rPr>
        <b/>
        <sz val="10"/>
        <color rgb="FF000000"/>
        <rFont val="Calibri"/>
        <family val="2"/>
        <scheme val="minor"/>
      </rPr>
      <t xml:space="preserve">Responsable: </t>
    </r>
    <r>
      <rPr>
        <sz val="10"/>
        <color rgb="FF000000"/>
        <rFont val="Calibri"/>
        <family val="2"/>
        <scheme val="minor"/>
      </rPr>
      <t xml:space="preserve">Funcionarios, contratistas de la OIDT
</t>
    </r>
    <r>
      <rPr>
        <b/>
        <sz val="10"/>
        <color rgb="FF000000"/>
        <rFont val="Calibri"/>
        <family val="2"/>
        <scheme val="minor"/>
      </rPr>
      <t>¿Cómo se realiza el control?:</t>
    </r>
    <r>
      <rPr>
        <sz val="10"/>
        <color rgb="FF000000"/>
        <rFont val="Calibri"/>
        <family val="2"/>
        <scheme val="minor"/>
      </rPr>
      <t xml:space="preserve"> A través de la firma del acuerdo de confidencialidad, imparcialidad y buen uso de los activos de la información para funcionarios y a través de la firma del contrato de prestación de servicios, para los contratistas
</t>
    </r>
    <r>
      <rPr>
        <b/>
        <sz val="10"/>
        <color rgb="FF000000"/>
        <rFont val="Calibri"/>
        <family val="2"/>
        <scheme val="minor"/>
      </rPr>
      <t xml:space="preserve">Periodicidad: </t>
    </r>
    <r>
      <rPr>
        <sz val="10"/>
        <color rgb="FF000000"/>
        <rFont val="Calibri"/>
        <family val="2"/>
        <scheme val="minor"/>
      </rPr>
      <t xml:space="preserve">Cada vez que se ingrese un nuevo funcionario y contratista al INM. 
</t>
    </r>
    <r>
      <rPr>
        <b/>
        <sz val="10"/>
        <color rgb="FF000000"/>
        <rFont val="Calibri"/>
        <family val="2"/>
        <scheme val="minor"/>
      </rPr>
      <t>Evidencia</t>
    </r>
    <r>
      <rPr>
        <sz val="10"/>
        <color rgb="FF000000"/>
        <rFont val="Calibri"/>
        <family val="2"/>
        <scheme val="minor"/>
      </rPr>
      <t xml:space="preserve">: A-04-F-022 Acuerdo de confidencialidad, imparcialidad y buen uso de los activos de la información (para funcionarios) y clausula de confidencialidad en los contratos de prestación de servicios A-07-F-014 Minuta contrato(Contratistas).
</t>
    </r>
    <r>
      <rPr>
        <b/>
        <sz val="10"/>
        <color rgb="FF000000"/>
        <rFont val="Calibri"/>
        <family val="2"/>
        <scheme val="minor"/>
      </rPr>
      <t xml:space="preserve">Desviaciones/observaciones: </t>
    </r>
    <r>
      <rPr>
        <sz val="10"/>
        <color rgb="FF000000"/>
        <rFont val="Calibri"/>
        <family val="2"/>
        <scheme val="minor"/>
      </rPr>
      <t xml:space="preserve">En caso de no firmar este acuerdo de confidencialidad, imparcialidad y buen uso de los activos de la información se pueden presentar posibles consecuencias juridicas, disciplinarias, legales y contractuales. Estos documentos figuran como requisitos para avanzar en el proceso contractual.
</t>
    </r>
    <r>
      <rPr>
        <b/>
        <sz val="10"/>
        <color rgb="FF000000"/>
        <rFont val="Calibri"/>
        <family val="2"/>
        <scheme val="minor"/>
      </rPr>
      <t xml:space="preserve">Documento: </t>
    </r>
    <r>
      <rPr>
        <sz val="10"/>
        <color rgb="FF000000"/>
        <rFont val="Calibri"/>
        <family val="2"/>
        <scheme val="minor"/>
      </rPr>
      <t>A-04-P-005 selección, vinculación y permanencia de personal y</t>
    </r>
    <r>
      <rPr>
        <b/>
        <sz val="10"/>
        <color rgb="FF000000"/>
        <rFont val="Calibri"/>
        <family val="2"/>
        <scheme val="minor"/>
      </rPr>
      <t xml:space="preserve">  </t>
    </r>
    <r>
      <rPr>
        <sz val="10"/>
        <color rgb="FF000000"/>
        <rFont val="Calibri"/>
        <family val="2"/>
        <scheme val="minor"/>
      </rPr>
      <t>A-07-P-001 etapa pre-contractual</t>
    </r>
  </si>
  <si>
    <t>Garantizar que todo nuevo integrante del equipo de la OIDT, sea funcionario o contratista, suscriba los acuerdos de confidencialidad y compromiso de buen uso de la información antes de iniciar sus labores, asegurando el cumplimiento de las políticas institucionales de seguridad de la información y mitigando el riesgo de divulgación o acceso no autorizado de datos institucionales.</t>
  </si>
  <si>
    <t xml:space="preserve">A-04-F-022 Acuerdo de confidencialidad, imparcialidad y buen uso de los activos de la información firmado (para funcionarios).
Contrato de prestación de servicios A-07-F-014 Minuta contrato con cláusula de confidencialidad (Contratistas) </t>
  </si>
  <si>
    <t>Enlace Financiero OIDT - Contratación</t>
  </si>
  <si>
    <r>
      <rPr>
        <b/>
        <sz val="8"/>
        <color rgb="FF000000"/>
        <rFont val="Calibri"/>
        <family val="2"/>
        <scheme val="minor"/>
      </rPr>
      <t xml:space="preserve">Porcentaje de integrantes con acuerdo o cláusula de confidencialidad </t>
    </r>
    <r>
      <rPr>
        <sz val="8"/>
        <color rgb="FF000000"/>
        <rFont val="Calibri"/>
        <family val="2"/>
        <scheme val="minor"/>
      </rPr>
      <t>= (N° de nuevos integrantes con acuerdo o cláusula de confidencialidad firmada/ total de nuevos integrantes vinculados) 
El 100% de los colaboradores del equipo de la OIDT suscriben el acuerdo de confidencialidad como requisito para el proceso de contratación.</t>
    </r>
  </si>
  <si>
    <t xml:space="preserve">13/11/2025 Liliana Pineda Aponte
</t>
  </si>
  <si>
    <t xml:space="preserve">Actualización de los controles de los siguientes riesgos:
SI-4,SI-6,SI-7,SI-9,SI-12,SI-25 Gestión de tecnología
SI-10 y SI-26, Gestión administrativa
 SI-24, OAP
Se agregan indicadores de gestión para los siguientes riesgos: SI-3, SI-4, SI-5, SI-6, SI-7, SI-8, SI-9, SI-10, SI-11, SI-12, SI-13
Remover el riesgo SI-22 del proceso de  Administración del Sistema Integrado de Gestión. Este quedaría cubierto con el riesgo SI-09 del proceso de Gestión de tecnología
</t>
  </si>
  <si>
    <t>CIGD # XX del 2025-11-28</t>
  </si>
  <si>
    <t>Instrucciones diligenciamiento - Mapa de Riesgos de seguridad de la información</t>
  </si>
  <si>
    <r>
      <t xml:space="preserve">Antes de iniciar con el diligenciamiento de la información en la matriz, se requiere haber avanzado en el análisis del </t>
    </r>
    <r>
      <rPr>
        <b/>
        <sz val="14"/>
        <color theme="1"/>
        <rFont val="Arial Narrow"/>
        <family val="2"/>
      </rPr>
      <t>proceso, su objetivo, alcance, actividades clave</t>
    </r>
    <r>
      <rPr>
        <sz val="14"/>
        <color theme="1"/>
        <rFont val="Arial Narrow"/>
        <family val="2"/>
      </rPr>
      <t xml:space="preserve">, considere los lineamientos establecidos en el </t>
    </r>
    <r>
      <rPr>
        <b/>
        <sz val="14"/>
        <color rgb="FFE36C09"/>
        <rFont val="Arial Narrow"/>
        <family val="2"/>
      </rPr>
      <t>Paso 2: identificación del riesgo</t>
    </r>
    <r>
      <rPr>
        <sz val="14"/>
        <color theme="1"/>
        <rFont val="Arial Narrow"/>
        <family val="2"/>
      </rPr>
      <t xml:space="preserve">, donde se explica ampliamente las bases para adelanter este análisis.
Así mismo, considere en el </t>
    </r>
    <r>
      <rPr>
        <b/>
        <sz val="14"/>
        <color rgb="FFE36C09"/>
        <rFont val="Arial Narrow"/>
        <family val="2"/>
      </rPr>
      <t>Paso 3: valoración del riesgo</t>
    </r>
    <r>
      <rPr>
        <sz val="14"/>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4"/>
        <color rgb="FFE36C09"/>
        <rFont val="Arial Narrow"/>
        <family val="2"/>
      </rPr>
      <t>NOTA:</t>
    </r>
    <r>
      <rPr>
        <sz val="14"/>
        <color theme="1"/>
        <rFont val="Arial Narrow"/>
        <family val="2"/>
      </rPr>
      <t xml:space="preserve"> Si lo considera pertinente, es posible agregar hojas de trabajo adicionales al presente formato que permitan incluir la traza de estos análisis.</t>
    </r>
  </si>
  <si>
    <r>
      <t xml:space="preserve">Tenga en cuenta que:
 -  </t>
    </r>
    <r>
      <rPr>
        <b/>
        <sz val="11"/>
        <color theme="1"/>
        <rFont val="Arial Narrow"/>
        <family val="2"/>
      </rPr>
      <t xml:space="preserve">Matriz de riesgos de seguridad de la información: </t>
    </r>
    <r>
      <rPr>
        <sz val="11"/>
        <color theme="1"/>
        <rFont val="Arial Narrow"/>
        <family val="2"/>
      </rPr>
      <t>Encontrará la totalidad de la estructura para la identificación y valoración de los riesgos por proceso, acorde con el nivel de desagregación que la entidad considere necesaria.</t>
    </r>
  </si>
  <si>
    <t xml:space="preserve">Diligencie el número que arroja Isolución al momento de generar el riesgo. </t>
  </si>
  <si>
    <t>El riesgo de seguridad de la información se redacta de la siguiente manera:
Vulnerabilidades + amenaza + riesgo* + activo
Riesgo*: Pérdida de la integridad, confidencialidad o disponibilidad</t>
  </si>
  <si>
    <t xml:space="preserve">Describa el activo de información que se encuentra identificado en la matriz de activos del proceso. </t>
  </si>
  <si>
    <t>Variable de seguridad que afecta</t>
  </si>
  <si>
    <t>Utilice la lista de despligue que se encuentra parametrizada, le aparecerán las opciones de: 
Pérdida de la confidencialidad
Pérdida de la integridad
Pérdida de la disponibilidad</t>
  </si>
  <si>
    <t xml:space="preserve">Para el análisis de las amenazas, utilice como referencia las tablas 1 y 2 que se encuentran en el anexo 2 del procedimiento E-02-P-009 GESTIÓN DE LOS RIESGOS y diligencie esta casilla. </t>
  </si>
  <si>
    <t>Vulnerabilidad</t>
  </si>
  <si>
    <t xml:space="preserve">Para el análisis de las vulnerabilidades, utilice como referencia las tablas 3 y 4 que se encuentra en el anexo 2 del procedimiento E-02-P-009 GESTIÓN DE LOS RIESGOS y diligencie esta casilla. </t>
  </si>
  <si>
    <t>Utilice la lista desplegable que se encuentra parametrizada, le aparecerán las opciones de la tabla de Impacto en la hoja del presente documento. La matriz automáticamente hará el cálculo para el nivel de impacto inherente (Columnas Q,R)</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</si>
  <si>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rgb="FFE36C09"/>
        <rFont val="Arial Narrow"/>
        <family val="2"/>
      </rPr>
      <t>Responsable de ejecutar el control + Acción + Complemento</t>
    </r>
  </si>
  <si>
    <t xml:space="preserve">Esta casilla no se diligencia, depende de la selección en la columna Y. </t>
  </si>
  <si>
    <r>
      <rPr>
        <b/>
        <sz val="9"/>
        <color theme="1"/>
        <rFont val="Arial Narrow"/>
        <family val="2"/>
      </rPr>
      <t xml:space="preserve">ATRIBUTOS EFICIENCIA
</t>
    </r>
    <r>
      <rPr>
        <sz val="9"/>
        <color theme="1"/>
        <rFont val="Arial Narrow"/>
        <family val="2"/>
      </rPr>
      <t>Tipo</t>
    </r>
  </si>
  <si>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</si>
  <si>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</si>
  <si>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r>
      <rPr>
        <b/>
        <sz val="9"/>
        <color theme="1"/>
        <rFont val="Arial Narrow"/>
        <family val="2"/>
      </rPr>
      <t xml:space="preserve">ATRIBUTOS INFORMATIVOS
</t>
    </r>
    <r>
      <rPr>
        <sz val="9"/>
        <color theme="1"/>
        <rFont val="Arial Narrow"/>
        <family val="2"/>
      </rPr>
      <t>Documentación</t>
    </r>
  </si>
  <si>
    <r>
      <rPr>
        <b/>
        <sz val="9"/>
        <color theme="1"/>
        <rFont val="Arial Narrow"/>
        <family val="2"/>
      </rPr>
      <t xml:space="preserve">ATRIBUTOS INFORMATIVOS
</t>
    </r>
    <r>
      <rPr>
        <sz val="9"/>
        <color theme="1"/>
        <rFont val="Arial Narrow"/>
        <family val="2"/>
      </rPr>
      <t>Frecuencia</t>
    </r>
  </si>
  <si>
    <r>
      <rPr>
        <b/>
        <sz val="9"/>
        <color theme="1"/>
        <rFont val="Arial Narrow"/>
        <family val="2"/>
      </rPr>
      <t xml:space="preserve">ATRIBUTOS INFORMATIVOS
</t>
    </r>
    <r>
      <rPr>
        <sz val="9"/>
        <color theme="1"/>
        <rFont val="Arial Narrow"/>
        <family val="2"/>
      </rPr>
      <t>Registro</t>
    </r>
  </si>
  <si>
    <r>
      <t>La matriz automáticamente hará el cálculo, acorde con el control o controles definidos con sus atributos analizados, lo que permitirá establecer el</t>
    </r>
    <r>
      <rPr>
        <b/>
        <sz val="9"/>
        <color rgb="FFE36C09"/>
        <rFont val="Arial Narrow"/>
        <family val="2"/>
      </rPr>
      <t xml:space="preserve"> nivel de riesgo inherente</t>
    </r>
    <r>
      <rPr>
        <sz val="9"/>
        <color theme="1"/>
        <rFont val="Arial Narrow"/>
        <family val="2"/>
      </rPr>
      <t>.</t>
    </r>
  </si>
  <si>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</si>
  <si>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Por último se formulan los indicadores clave de riesgo (KRI por sus siglas en ingles) que permitan monitorear el cumplimiento (eficacia) e impacto (efectividad) de las actividades de control, siempre y cuando conduzcan a la toma de decisiones (Por riesgo identificado en los procesos).	</t>
  </si>
  <si>
    <r>
      <t xml:space="preserve"> -</t>
    </r>
    <r>
      <rPr>
        <sz val="11"/>
        <color theme="1"/>
        <rFont val="Arial Narrow"/>
        <family val="2"/>
      </rPr>
      <t xml:space="preserve"> </t>
    </r>
    <r>
      <rPr>
        <b/>
        <sz val="11"/>
        <color theme="1"/>
        <rFont val="Arial Narrow"/>
        <family val="2"/>
      </rPr>
      <t xml:space="preserve"> Hoja Matriz de Calor Inherente SI: </t>
    </r>
    <r>
      <rPr>
        <sz val="11"/>
        <color theme="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</si>
  <si>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color theme="1"/>
        <rFont val="Arial Narrow"/>
        <family val="2"/>
      </rPr>
      <t xml:space="preserve"> </t>
    </r>
    <r>
      <rPr>
        <b/>
        <sz val="11"/>
        <color theme="1"/>
        <rFont val="Arial Narrow"/>
        <family val="2"/>
      </rPr>
      <t xml:space="preserve"> Hoja Matriz de Calor Residual SI: </t>
    </r>
    <r>
      <rPr>
        <sz val="11"/>
        <color theme="1"/>
        <rFont val="Arial Narrow"/>
        <family val="2"/>
      </rPr>
      <t>En esta hoja, en la medida en que ese diligencia el Mapa Final, se verán reflejados los riesgos en su zona correspondiente. Esta hoja no se diligencia, se genera de manera automática.</t>
    </r>
  </si>
  <si>
    <t>Estado</t>
  </si>
  <si>
    <t>Pérdida de Integridad</t>
  </si>
  <si>
    <t>Pérdida de Confidencialidad</t>
  </si>
  <si>
    <t>Servidores</t>
  </si>
  <si>
    <t>Pérdida de Disponibilidad</t>
  </si>
  <si>
    <t>Sistemas internos</t>
  </si>
  <si>
    <t>Servicios</t>
  </si>
  <si>
    <t>Datacenter</t>
  </si>
  <si>
    <t xml:space="preserve">     El riesgo afecta la imagen de la entidad internamente, de conocimiento general, nivel interno, de junta dircetiva y accionistas y/o de provedores</t>
  </si>
  <si>
    <t>Registros técnicos de las actividades del laboratorio para el proceso M-01 Servicios de calibración y Medición Metrológica</t>
  </si>
  <si>
    <t>Equipo de cómputo esclavos de los laboratorios</t>
  </si>
  <si>
    <t>Contratos</t>
  </si>
  <si>
    <t>No</t>
  </si>
  <si>
    <t>Instalaciones</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</si>
  <si>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</si>
  <si>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</si>
  <si>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</si>
  <si>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</si>
  <si>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</si>
  <si>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</si>
  <si>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</si>
  <si>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</si>
  <si>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</si>
  <si>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</si>
  <si>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</si>
  <si>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</si>
  <si>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</si>
  <si>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</si>
  <si>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</si>
  <si>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</si>
  <si>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</si>
  <si>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</si>
  <si>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</si>
  <si>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</si>
  <si>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directiva y accionistas y/o de provedores</t>
  </si>
  <si>
    <t>Moderado 60%</t>
  </si>
  <si>
    <t xml:space="preserve">Entre 50 y 100 SMLMV </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</si>
  <si>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</si>
  <si>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</si>
  <si>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</si>
  <si>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</si>
  <si>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</si>
  <si>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Afectación_Económica_o_presupuestal</t>
  </si>
  <si>
    <t>Pérdida_Reputacional</t>
  </si>
  <si>
    <t>Criterios</t>
  </si>
  <si>
    <t>Subcriterios</t>
  </si>
  <si>
    <t>Afectación Económica o presupuestal</t>
  </si>
  <si>
    <t>Afectación menor a 10 SMLMV .</t>
  </si>
  <si>
    <t>El riesgo afecta la imagen de la entidad internamente, de conocimiento general, nivel interno, de junta dircetiva y accionistas y/o de provedores</t>
  </si>
  <si>
    <t>❌</t>
  </si>
  <si>
    <t>✔</t>
  </si>
  <si>
    <t>Tabla Atributos de para el diseño del control</t>
  </si>
  <si>
    <t>Características</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</si>
  <si>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</si>
  <si>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</si>
  <si>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</si>
  <si>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</si>
  <si>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</si>
  <si>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</si>
  <si>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</si>
  <si>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</si>
  <si>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</si>
  <si>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</si>
  <si>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</si>
  <si>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</si>
  <si>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</si>
  <si>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</si>
  <si>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</si>
  <si>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</si>
  <si>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Contexto</t>
  </si>
  <si>
    <r>
      <t xml:space="preserve">Nivel Impacto
</t>
    </r>
    <r>
      <rPr>
        <b/>
        <sz val="9"/>
        <color rgb="FF0070C0"/>
        <rFont val="Calibri"/>
        <family val="2"/>
        <scheme val="minor"/>
      </rPr>
      <t>(Gestión)</t>
    </r>
  </si>
  <si>
    <t>Consecuencias Cuantitativo</t>
  </si>
  <si>
    <t>Consecuencias Cualitativo</t>
  </si>
  <si>
    <r>
      <t xml:space="preserve">Nivel Impacto
</t>
    </r>
    <r>
      <rPr>
        <b/>
        <sz val="9"/>
        <color rgb="FF0070C0"/>
        <rFont val="Calibri"/>
        <family val="2"/>
        <scheme val="minor"/>
      </rPr>
      <t>(S.I)</t>
    </r>
  </si>
  <si>
    <t>Valor impacto</t>
  </si>
  <si>
    <t>Tipo Proceso</t>
  </si>
  <si>
    <t>Sigla</t>
  </si>
  <si>
    <t>Contexto Externo</t>
  </si>
  <si>
    <t xml:space="preserve"> -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</si>
  <si>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 xml:space="preserve"> -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t>
  </si>
  <si>
    <t>Afectación ≥X% de la población.
Afectación ≥X% del presupuesto anual de la entidad.
No hay afectación medioambiental.</t>
  </si>
  <si>
    <t>Sin afectación de la integridad.
Sin afectación de la disponibilidad.
Sin afectación de la confidencialidad.</t>
  </si>
  <si>
    <t>E-01</t>
  </si>
  <si>
    <t>Contexto Interno</t>
  </si>
  <si>
    <t xml:space="preserve"> -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</si>
  <si>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 xml:space="preserve">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</si>
  <si>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Afectación ≥X% de la población.
Afectación ≥X% del presupuesto anual de la entidad.
Afectación leve del medio ambiente, requiere de ≥X días de recuperación.</t>
  </si>
  <si>
    <t>Afectación leve de la integridad.
Afectación leve de la disponibilidad.
Afectación leve de la confidencialidad.</t>
  </si>
  <si>
    <t>E-02</t>
  </si>
  <si>
    <t>Contexto Proceso</t>
  </si>
  <si>
    <t xml:space="preserve"> -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</si>
  <si>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 xml:space="preserve"> -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</si>
  <si>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Afectación ≥X% de la población.
Afectación ≥X% del presupuesto anual de la entidad.
Afectación leve del medio ambiente, requiere de ≥X semanas de recuperación.</t>
  </si>
  <si>
    <t>Afectación moderada de la integridad de la información debido al interés particular de los empleados y terceros.
Afectación moderada de la disponibilidad de la información debido al interés particular de los empleados y terceros.
Afectación moderada de la confidencialidad de la información debido al interés particular de los empleados y terceros.</t>
  </si>
  <si>
    <t>E-03</t>
  </si>
  <si>
    <t xml:space="preserve"> -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 del presupuesto general de la entidad.</t>
  </si>
  <si>
    <t xml:space="preserve"> -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</si>
  <si>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Afectación ≥X% de la población.
Afectación ≥X% del presupuesto anual de la entidad.
Afectación importante del medio ambiente que requiere de ≥X meses de recuperación.</t>
  </si>
  <si>
    <t>Afectación grave de la integridad de la información debido al interés particular de los empleados y terceros.
Afectación grave de la disponibilidad de la información debido al interés particular de los empleados y terceros.
Afectación grave de la confidencialidad de la información debido al interés particular de los empleados y terceros.</t>
  </si>
  <si>
    <t>E-04</t>
  </si>
  <si>
    <t xml:space="preserve"> -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 del presupuesto general de la entidad.</t>
  </si>
  <si>
    <t xml:space="preserve"> - No hay interrupción de las operaciones de la entidad.
- No se generan sanciones económicas o administrativas.
- No se afecta la imagen institucional de forma significativa.</t>
  </si>
  <si>
    <t>Afectación ≥X% de la población.
Afectación ≥X% del presupuesto anual de la entidad.
Afectación muy grave del medio ambiente que requiere de ≥X años de recuperación.</t>
  </si>
  <si>
    <t>Afectación muy grave de la integridad de la información debido al interés particular de los empleados y terceros.
Afectación muy grave de la disponibilidad de la información debido al interés particular de los empleados y terceros.
Afectación muy grave de la confidencialidad de la información debido al interés particular de los empleados y terceros.</t>
  </si>
  <si>
    <t>E-05</t>
  </si>
  <si>
    <t>Misional</t>
  </si>
  <si>
    <t>M-01</t>
  </si>
  <si>
    <t>M-02</t>
  </si>
  <si>
    <t>Político</t>
  </si>
  <si>
    <t>Ejemplo esquemático para la evaluación del impacto en un Riesgo de Corrupción</t>
  </si>
  <si>
    <t>M-03</t>
  </si>
  <si>
    <t>Económico y financiero</t>
  </si>
  <si>
    <t>N°</t>
  </si>
  <si>
    <t>Si el riesgo de corrupción se materializa podría…</t>
  </si>
  <si>
    <t>Respuesta (SI / NO)</t>
  </si>
  <si>
    <t>Nivel Probabilidad</t>
  </si>
  <si>
    <t>Descriptor</t>
  </si>
  <si>
    <t>M-04</t>
  </si>
  <si>
    <t>Social y cultural</t>
  </si>
  <si>
    <t>¿Afectar al grupo de funcionarios del proceso?</t>
  </si>
  <si>
    <t>Se espera que el evento ocurra en la mayoría de las circunstancias.</t>
  </si>
  <si>
    <t>Más de 1 vez al año.</t>
  </si>
  <si>
    <t>M-05</t>
  </si>
  <si>
    <t>¿Afectar el cumplimiento de metas y objetivos de la dependencia?</t>
  </si>
  <si>
    <t>Es viable que el evento ocurra en la mayoría de las circunstancias.</t>
  </si>
  <si>
    <t>Al menos 1 vez en el último año.</t>
  </si>
  <si>
    <t>M-06</t>
  </si>
  <si>
    <t>Ambiental</t>
  </si>
  <si>
    <t>¿Afectar el cumplimiento de misión de la entidad?</t>
  </si>
  <si>
    <t>El evento podrá ocurrir en algún momento.</t>
  </si>
  <si>
    <t>Al menos 1 vez en los últimos 2 años.</t>
  </si>
  <si>
    <t>M-07</t>
  </si>
  <si>
    <t>Legal y reglamentario</t>
  </si>
  <si>
    <t>¿Afectar el cumplimiento de la misión del sector al que pertenece la entidad?</t>
  </si>
  <si>
    <t>El evento puede ocurrir en algún momento.</t>
  </si>
  <si>
    <t>Al menos 1 vez en los últimos 5 años.</t>
  </si>
  <si>
    <t>M-08</t>
  </si>
  <si>
    <t>¿Generar pérdida de confianza de la entidad, afectando su reputación?</t>
  </si>
  <si>
    <t>El evento puede ocurrir solo en circunstancias excepcionales (poco comunes o anormales).</t>
  </si>
  <si>
    <t>No se ha presentado en los últimos 5 años.</t>
  </si>
  <si>
    <t>Apoyo</t>
  </si>
  <si>
    <t>A-01</t>
  </si>
  <si>
    <t>¿Generar pérdida de recursos económicos?</t>
  </si>
  <si>
    <t>A-02</t>
  </si>
  <si>
    <t>¿Afectar la generación de los productos o la prestación de servicios?</t>
  </si>
  <si>
    <t>A-03</t>
  </si>
  <si>
    <t>¿Dar lugar al detrimento de calidad de vida de la comunidad por la pérdida del bien, servicios o recursos públicos?</t>
  </si>
  <si>
    <t>Pass</t>
  </si>
  <si>
    <t>INM-SIG</t>
  </si>
  <si>
    <t>A-04</t>
  </si>
  <si>
    <t>¿Generar pérdida de información de la entidad?</t>
  </si>
  <si>
    <t>A-05</t>
  </si>
  <si>
    <t>Personal</t>
  </si>
  <si>
    <t>¿Generar intervención de los órganos de control, de la Fiscalía u otro ente?</t>
  </si>
  <si>
    <t>Número total de Riesgos</t>
  </si>
  <si>
    <t>A-06</t>
  </si>
  <si>
    <t>¿Dar lugar a procesos sancionatorios?</t>
  </si>
  <si>
    <t>Número de Controles</t>
  </si>
  <si>
    <t>A-07</t>
  </si>
  <si>
    <t>Tecnología</t>
  </si>
  <si>
    <t>¿Dar lugar a procesos disciplinarios?</t>
  </si>
  <si>
    <t>A-08</t>
  </si>
  <si>
    <t>¿Dar lugar a procesos fiscales?</t>
  </si>
  <si>
    <t>C-01</t>
  </si>
  <si>
    <t>Comunicación Interna</t>
  </si>
  <si>
    <t>¿Dar lugar a procesos penales?</t>
  </si>
  <si>
    <t>(T)
Transversal</t>
  </si>
  <si>
    <t>T</t>
  </si>
  <si>
    <t>Infraestructura</t>
  </si>
  <si>
    <t>¿Generar pérdida de credibilidad del sector?</t>
  </si>
  <si>
    <t>¿Ocasionar lesiones físicas o pérdida de vidas humanas?</t>
  </si>
  <si>
    <t>Resultados de los posibles desplazamientos de la
probabilidad y del impacto de los riesgos.</t>
  </si>
  <si>
    <t>¿Afectar la imagen regional?</t>
  </si>
  <si>
    <t>Solidez del conjunto de controles</t>
  </si>
  <si>
    <t>Controles ayudan a disminuir probabilidad</t>
  </si>
  <si>
    <t>Controles ayudan a disminuir impacto</t>
  </si>
  <si>
    <t xml:space="preserve"> # de columnas en la matriz de riesgo que se desplaza en el eje de probabilidad</t>
  </si>
  <si>
    <t xml:space="preserve"> # de columnas en la matriz de riesgo que se desplaza en el eje de impacto</t>
  </si>
  <si>
    <t>¿Afectar la imagen nacional?</t>
  </si>
  <si>
    <t>Diseño del proceso</t>
  </si>
  <si>
    <t>¿Generar daño ambiental?</t>
  </si>
  <si>
    <t>Interacción con otros procesos</t>
  </si>
  <si>
    <t>Transversalidad</t>
  </si>
  <si>
    <t>Procedimientos asociados</t>
  </si>
  <si>
    <t>Peso de la ejecución</t>
  </si>
  <si>
    <t>Descripción de la ejecución</t>
  </si>
  <si>
    <t>Puntaje</t>
  </si>
  <si>
    <t>Responsables del proceso</t>
  </si>
  <si>
    <t>El control se ejecuta de manera consistente por parte del responsable</t>
  </si>
  <si>
    <t>Comunicación entre procesos</t>
  </si>
  <si>
    <t>El control se ejecuta algunas veces por parte del responsable</t>
  </si>
  <si>
    <t>Activos de seguridad digital</t>
  </si>
  <si>
    <t>Débil</t>
  </si>
  <si>
    <t>El control no se ejecuta por parte del responsable</t>
  </si>
  <si>
    <t>Tipología Riesgos</t>
  </si>
  <si>
    <t>Coordenada</t>
  </si>
  <si>
    <t>Nivel de Riesgo</t>
  </si>
  <si>
    <t>El promedio de la solidez individual de cada control al sumarlos y ponderarlos es igual a 100.</t>
  </si>
  <si>
    <t>El promedio de la solidez individual de cada control al sumarlos y ponderarlos está entre 50 y 99.</t>
  </si>
  <si>
    <t>El promedio de la solidez individual de cada control al sumarlos y ponderarlos es menor a 50.</t>
  </si>
  <si>
    <t>Peso o participación de cada variable en el diseño del
control para la mitigación del riesgo</t>
  </si>
  <si>
    <t>Criterio de Evaluación</t>
  </si>
  <si>
    <t>Opción de respuesta al criterio de evaluación</t>
  </si>
  <si>
    <t>Peso en la evaluación del diseño del control</t>
  </si>
  <si>
    <t>1.1 Asignación del responsable</t>
  </si>
  <si>
    <t>No asignado</t>
  </si>
  <si>
    <t>1.2 Segregación y autoridad del responsable.</t>
  </si>
  <si>
    <t>Inadecuado</t>
  </si>
  <si>
    <t>2. Periodicidad</t>
  </si>
  <si>
    <t>Inoportuna</t>
  </si>
  <si>
    <t>3. Propósito</t>
  </si>
  <si>
    <t>Tipos de Proceso</t>
  </si>
  <si>
    <t>No es un control</t>
  </si>
  <si>
    <t>4. Cómo se  realiza
la actividad de control.</t>
  </si>
  <si>
    <t>No confiable</t>
  </si>
  <si>
    <t>5. Qué pasa con las observaciones o desviaciones</t>
  </si>
  <si>
    <t>6. Evidencia de la ejecución del control.</t>
  </si>
  <si>
    <t>Respuesta cerrada</t>
  </si>
  <si>
    <t>Incompleta</t>
  </si>
  <si>
    <t>No existe</t>
  </si>
  <si>
    <t>Puntaje máximo posible</t>
  </si>
  <si>
    <t>Pto</t>
  </si>
  <si>
    <t>Rango de calificación del diseño</t>
  </si>
  <si>
    <t>Resultado - Peso en la evaluación del diseño del control</t>
  </si>
  <si>
    <t>Calificación entre 96 y 100</t>
  </si>
  <si>
    <t>Segregación y autoridad del responsable.</t>
  </si>
  <si>
    <t>EVALUACIÓN DE IMPACTO</t>
  </si>
  <si>
    <t>Calificación entre 86 y 95</t>
  </si>
  <si>
    <t>Calificación entre 0 y 85</t>
  </si>
  <si>
    <t>Peso Individual del diseño (diseño)</t>
  </si>
  <si>
    <t>El control se ejecuta de manera consistente por los responsables (ejecución)</t>
  </si>
  <si>
    <t>Solidez individual de cada control
Fuerte = 100
Moderado = 50
Débil = 0</t>
  </si>
  <si>
    <t>¿Requiere acción para mejorar el control?</t>
  </si>
  <si>
    <t>Fuerte calificación entre 96 y 100</t>
  </si>
  <si>
    <t>Fuerte (siempre se ejecuta)</t>
  </si>
  <si>
    <t>fuerte + fuerte = fuerte</t>
  </si>
  <si>
    <t>Moderado (algunas veces)</t>
  </si>
  <si>
    <t>fuerte + moderado = moderado</t>
  </si>
  <si>
    <t>Si</t>
  </si>
  <si>
    <t>Débil (no se ejecuta)</t>
  </si>
  <si>
    <t>fuerte + débil = débil</t>
  </si>
  <si>
    <t>Moderado calificación entre 86 y 95</t>
  </si>
  <si>
    <t>moderado + fuerte = moderado</t>
  </si>
  <si>
    <t>moderado + moderado = moderado</t>
  </si>
  <si>
    <t>moderado + débil = débil</t>
  </si>
  <si>
    <t>Débil calificación entre 0 y 85</t>
  </si>
  <si>
    <t>débil + fuerte = débil</t>
  </si>
  <si>
    <t>débil + moderado = débil</t>
  </si>
  <si>
    <t>Cómo se realiza la actividad de control.</t>
  </si>
  <si>
    <t>débil + débil = débil</t>
  </si>
  <si>
    <t>Evidencia de la ejecución del control.</t>
  </si>
  <si>
    <t>Tipo de Control</t>
  </si>
  <si>
    <t>Compartir</t>
  </si>
  <si>
    <t>Influencia del Control</t>
  </si>
  <si>
    <t>Tratamiento del riesgo</t>
  </si>
  <si>
    <t>¿Se materializa el riesgo?</t>
  </si>
  <si>
    <t xml:space="preserve">Fuentes de materialización del riesgo </t>
  </si>
  <si>
    <t>1. Auditoría externa</t>
  </si>
  <si>
    <t>3. Documentos externos</t>
  </si>
  <si>
    <t>Tipos de control</t>
  </si>
  <si>
    <t xml:space="preserve">5. Indicadores o datos </t>
  </si>
  <si>
    <t>Plan de acción (solo para la opción reducir)</t>
  </si>
  <si>
    <t>6. Resultados de la Revisión por la Dirección  </t>
  </si>
  <si>
    <t>Finalizado</t>
  </si>
  <si>
    <t>7. Satisfacción del cliente </t>
  </si>
  <si>
    <t>En curso</t>
  </si>
  <si>
    <t>8. Fallas en los procesos que afectan la seguridad de la información. </t>
  </si>
  <si>
    <t>9. Informes de Investigación de accidentes, incidentes y enfermedades laborales. </t>
  </si>
  <si>
    <t>Clasificación del riesgo</t>
  </si>
  <si>
    <t>Atributos de eficiencia</t>
  </si>
  <si>
    <t>10. Quejas, reclamos y apelaciones. </t>
  </si>
  <si>
    <t>Daños activos físicos / Eventos externos</t>
  </si>
  <si>
    <t>11. Aseguramiento de la validez de los resultados</t>
  </si>
  <si>
    <t>Fallas tecnológicas</t>
  </si>
  <si>
    <t>13. Simulacros </t>
  </si>
  <si>
    <t>Fraude externo</t>
  </si>
  <si>
    <t>14. MIPG </t>
  </si>
  <si>
    <t>Fraude interno</t>
  </si>
  <si>
    <t>Tipos de riesgos</t>
  </si>
  <si>
    <t>15. Supervisiones de Producción y Calidad </t>
  </si>
  <si>
    <t>Relaciones laborales</t>
  </si>
  <si>
    <t>16. Encuestas de percepción </t>
  </si>
  <si>
    <t xml:space="preserve">Usuarios, productos y prácticas </t>
  </si>
  <si>
    <t>17. Hallazgos con presunta incidencia fiscal</t>
  </si>
  <si>
    <t>Variable de Seguridad que Afecta</t>
  </si>
  <si>
    <t>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t>
  </si>
  <si>
    <t>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t>
  </si>
  <si>
    <t>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t>
  </si>
  <si>
    <t>Aplica para todos los procesos del INM y los requisitos de las normas definidos dentro de la política del Sistema Integrado de Gestión. Inicia con la planificación, termina con la implementacion de acciones y su evaluacion de la eficacia</t>
  </si>
  <si>
    <t>Definir políticas, estrategias, planes y acciones en materia de comunicación interna y externa de manera permanente, utilizando los canales de comunicación institucionales y estableciendo sinergias con los grupos de valor, de acuerdo con las actividades definidas en el Plan Estratégico de Comunicaciones, para buscar el logro de los objetivos estratégicos y misionales.
Este proceso esta relacionado con el objetivo estratégico Brindar herramientas que faciliten la diseminación de la trazabilidad y del conocimiento en metrología, para contribuir al aseguramiento de la calidad de los bienes y servicios que se producen y comercializan en el país y el habilitador Gestionar de manera eficaz la información con las partes interesadas.</t>
  </si>
  <si>
    <t>Este proceso tiene relación con todos los procesos del Instituto Nacional de Metrología, en cumplimiento de las estrategias de comunicaciones que impacten a los grupos de valor. Inicia con la definición de la política de comunicación del INM y finaliza con el seguimiento al Plan Estratégico de Comunicaciones (PEC) y de ser necesario, al Plan de Comunicación de Crisis.</t>
  </si>
  <si>
    <t>Facilitar los mecanismos para la implementación de la política de servicio al ciudadano de la entidad, de manera articulada con las demás dependencias del INM, que incluya el cumplimiento de los tiempos y respuestas a las peticiones de los ciudadanos, así como, la medición del nivel de satisfacción en los contactos con el ciudadano y cada uno de los servicios prestados a los clientes, de forma permanente y dirigido a todos los grupos de valor del INM, para mejorar la relación Estado – Ciudadano y el entendimiento de la metrología como bien público.
Este proceso está relacionado con el Objetivo Estratégico: Brindar herramientas que faciliten la diseminación de la trazabilidad y del conocimiento en metrología, para contribuir al aseguramiento de la calidad de los bienes y servicios que se producen y comercializan en el país.</t>
  </si>
  <si>
    <t>Inicia con la definición y planificación de las estrategias que faciliten el cumplimiento de la política de servicio al ciudadano y finaliza con reportar las actividades realizadas en el proceso de Servicio al ciudadano de acuerdo con el Plan de Acción e implementar las acciones de mejoramiento detectadas en el proceso por diferentes fuentes. Incluye la evaluación a la respuesta dada y al servicio prestado y/o comercializado.</t>
  </si>
  <si>
    <t>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t>
  </si>
  <si>
    <t>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t>
  </si>
  <si>
    <t>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t>
  </si>
  <si>
    <t>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t>
  </si>
  <si>
    <t>Prestar servicios de capacitación y formación en materia de metrología científica e industrial, mediante el diseño, programación y desarrollo de capacitaciones en metrología basadas en las necesidades del país en esta materia y aprobadas por las Subdirecciones del INM para la vigencia, que contribuyan a fortalecer la cultura metrológica en la industria nacional y en los laboratorios de calibración y ensayo.
Este proceso esta alineado con el objetivo estratégico B.1 Brindar herramientas que faciliten la diseminación de la trazabilidad y del conocimiento en metrología, para contribuir al aseguramiento de la calidad de los bienes y servicios que se producen y comercializan en el país.</t>
  </si>
  <si>
    <t>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t>
  </si>
  <si>
    <t>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t>
  </si>
  <si>
    <t>Asesorar y prestar servicios de asistencia técnica en materia de metrología científica o industrial y realizar estudios técnicos que permitan identificar las necesidades y capacidades metrológicas de productores y laboratorios del país, con el fin de fortalecer la competitividad y productividad de los procesos productivos o de medición de los usuarios.
El proceso se relaciona con el objetivo estratégico: Brindar herramientas que faciliten la diseminación de la trazabilidad y del conocimiento en metrología, para contribuir al aseguramiento de la calidad de los bienes y servicios que se desarrollan y comercializan en el país.</t>
  </si>
  <si>
    <t>Este proceso incluye la identificación de necesidades y capacidades metrológicas y las modalidades del servicio de asistencia técnica que se ajusta a la solicitud del usuario (asesoría, formación y evaluación de capacidades). Inicia con Planificar la prestación de servicio de asistencia técnica y finaliza con realizar la entrega final de los productos pactados con el cliente e identificar la percepción del cliente frente al servicio prestado.</t>
  </si>
  <si>
    <t>Seguridad de la información</t>
  </si>
  <si>
    <t>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t>
  </si>
  <si>
    <t>Impulsar permanentemente las competencias metrológicas del país a través del establecimiento y operación de la USN (Unidad Sectorial de Normalización), al igual que el desarrollo de espacios de interacción y comunicación, liderados por el INM, donde de acuerdo con planes de trabajo establecidos se identifiquen necesidades y capacidades para proponer herramientas que permitan fortalecer la metrología científica e industrial y consolidar la confianza en los servicios metrológicos.</t>
  </si>
  <si>
    <t>Inicia con la detección de las necesidades en metrología hasta la prestación de los servicios metrológicos a los laboratorios de metrología de nivel nacional, creando sinergias que permitan la gestión del conocimiento y la actuación compartida entre diferentes instituciones.</t>
  </si>
  <si>
    <t>Gestionar proyectos de Investigación, Desarrollo Tecnológico e Innovación propuestos por la entidad, mediante la formulación de ideas, el diseño y desarrollo de herramientas para la estructuración, ejecución y seguimiento de actividades de proyectos de I+D+i, de acuerdo con los planes de trabajo de los grupos de investigación y demás áreas involucradas en el I+D+i, para facilitar la transferencia de conocimiento en temas relacionados con metrología científica e industrial.
El proceso se relaciona con el objetivo estratégico: D.1. Posicionar las actividades de ciencia, tecnología e innovación en metrología que contribuyan a la competitividad, productividad y el bienestar de la población.</t>
  </si>
  <si>
    <t>Desde la definición de lineamientos, criterios, procedimientos y formatos para la formulación de ideas y la estructuración de los proyectos de I+D+i en el INM, hasta difundir los resultados y productos de los Proyectos de Investigación Desarrollo tecnológico e Innovación del INM.</t>
  </si>
  <si>
    <t>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t>
  </si>
  <si>
    <t>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t>
  </si>
  <si>
    <t>Administrar, registrar y controlar de manera eficiente, oportuna, transparente y permanente los recursos financieros del INM, mediante el registro íntegro de las operaciones en el SIIF NACIÓN II, conforme a la normatividad vigente y los procedimientos establecidos por el Grupo de Gestión Financiera, para análisis y depuración de la información, la cual permita garantizar la representación fiel de la situación financiera del INM con el fin de soportar una adecuada toma de decisiones.
El proceso se relaciona con el objetivo estratégico: Fortalecer la capacidad administrativa y de desempeño institucional para garantizar la eficiencia y calidad a los procesos de la entidad</t>
  </si>
  <si>
    <t>Defender permanentemente los intereses patrimoniales e institucionales del INM, atendiendo las acciones que en contra del INM puedan iniciar funcionarios, exfuncionarios o terceras personas (personas jurídicas o naturales) que se sientan perjudicadas por acciones u omisiones del Instituto Nacional de Metrología, así como de las acciones que por ley se deban iniciar en contra de funcionarios, exfuncionarios o terceras personas que lesionen el interés patrimonial o institucional de la entidad.
El proceso se relaciona con el objetivo estratégico: Fortalecer la capacidad administrativa y de desempeño institucional para garantizar la eficiencia y calidad a los procesos de la entidad</t>
  </si>
  <si>
    <t>Inicia desde la ocurrencia del hecho generador de la actuación administrativa o acción extrajudicial (conciliación) o judicial (demanda) hasta la terminación del respectivo proceso judicial o administrativo y/o archivo.</t>
  </si>
  <si>
    <t>Administrar permanentemente el Sistema de Gestión Documental del INM, mediante la aplicación y seguimiento de los instrumentos archivísticos, con el fin de garantizar la disponibilidad, conservación y recuperación de todos documentos y registros generados en cumplimiento de las funciones del INM.
El proceso se relaciona con el objetivo estratégico: Fortalecer la capacidad administrativa y de desempeño institucional para garantizar la eficiencia y calidad a los procesos de la entidad</t>
  </si>
  <si>
    <t>Administrar de manera eficiente el talento humano al servicio del INM, mediante la realización de actividades de ingreso, desarrollo y retiro de personal para cada vigencia, que involucren la totalidad de los servidores públicos, garantizando la idoneidad y competencia, y fortaleciendo el clima y la cultura laboral.
El proceso se relaciona con el objetivo estratégico: Fortalecer la capacidad administrativa y de desempeño institucional para garantizar la eficiencia y calidad a los procesos de la entidad.</t>
  </si>
  <si>
    <t>Inicia con la selección del personal y termina con la desvinculación de los funcionarios y atención a los requerimientos posteriores a la desvinculación. Incluye todas las actividades de desarrollo laboral relacionadas con situaciones administrativas, ejecución de los planes de gestión de talento humano y las actividades del Sistema de Seguridad y Salud en el Trabajo.</t>
  </si>
  <si>
    <t>Gestionar los servicios administrativos, los bienes y el mantenimiento de equipos eléctricos, planta física y climatización, elaborando y gestionando la programación para cada vigencia y controlando la ejecución de las actividades relacionadas con la administración de los servicios generales y de apoyo logístico interno, los servicios de comercio exterior y actividades del Plan de Gestión Ambiental requeridos para el correcto funcionamiento del INM.
El proceso se relaciona con el objetivo estratégico: Fortalecer la capacidad administrativa y de desempeño institucional para garantizar la eficiencia y calidad a los procesos de la entidad.</t>
  </si>
  <si>
    <t>Determinar la responsabilidad en relación con conductas disciplinarias de los servidores públicos del INM establecidas en el marco normativo vigente, adelantando oportuna y eficazmente las indagaciones o investigaciones a que haya lugar, garantizando el debido proceso y el derecho de defensa, ejecutando las sanciones que correspondan, en el marco de principios éticos, de moralidad y de eficiencia de los servidores públicos.</t>
  </si>
  <si>
    <t>Inicia con una queja, solicitud o informe respecto a la presunta conducta irregular de un servidor público y termina con una decisión inhibitoria, de archivo, absolutoria o sancionatoria.</t>
  </si>
  <si>
    <t>Gestionar los procesos de contratación atendiendo los requisitos legales y reglamentarios para la adquisición de bienes y servicios, cada vez que sea requerido de acuerdo al Plan Anual de Adquisiciones para asegurar el desarrollo de los procesos del INM
El proceso se relaciona con el objetivo estratégico: Fortalecer la capacidad administrativa y de desempeño institucional para garantizar la eficiencia y calidad a los procesos de la entidad</t>
  </si>
  <si>
    <t>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t>
  </si>
  <si>
    <t>Medir la eficiencia, eficacia y economía de los demás controles, asesorando a la Alta Dirección en la continuidad del proceso administrativo, la evaluación de los planes establecidos y en la introducción de los correctivos necesarios; ejerciendo liderazgo estratégico, enfoque hacia la prevención, relación con entes externos de control, evaluación de la gestión del riesgo y evaluación y seguimiento; permanentemente; en cumplimiento del Plan Anual de Auditoría, contribuyendo con el cumplimiento de las metas u objetivos previstos por la entidad.
El proceso se relaciona con el objetivo estratégico: Fortalecer la capacidad administrativa y de desempeño institucional para garantizar la eficiencia y calidad de los procesos de la entidad.</t>
  </si>
  <si>
    <t>Inicia con el plan anual de auditorías el cual abarca actividades tales como: ejecución de auditorías internas, análisis de datos, evaluación independiente al Sistema de Control Interno y seguimiento a planes de mejoramiento, verificaciones especiales, entre otros y finaliza con la emisión de informes. Excluye le evaluación de la normatividad técnica.</t>
  </si>
  <si>
    <t>GRUPO</t>
  </si>
  <si>
    <t>ACTIVOS</t>
  </si>
  <si>
    <t>SURDO</t>
  </si>
  <si>
    <t>SASM</t>
  </si>
  <si>
    <t>Servicios en Línea</t>
  </si>
  <si>
    <t>Recaudos</t>
  </si>
  <si>
    <t>Intranet</t>
  </si>
  <si>
    <t>SISEPM</t>
  </si>
  <si>
    <t>Hoja de Vida Equipos</t>
  </si>
  <si>
    <t>Seguimiento Planes</t>
  </si>
  <si>
    <t>Biblioteca Digital</t>
  </si>
  <si>
    <t>Sistema Biostar</t>
  </si>
  <si>
    <t>BPMetro</t>
  </si>
  <si>
    <t>elearning</t>
  </si>
  <si>
    <t>Encuestas on line</t>
  </si>
  <si>
    <t>Hora legal</t>
  </si>
  <si>
    <t>Página WEB</t>
  </si>
  <si>
    <t>SGDEA</t>
  </si>
  <si>
    <t>SRV ANDROMEDA 2</t>
  </si>
  <si>
    <t>SRV ORION</t>
  </si>
  <si>
    <t>SRV ORION-DC</t>
  </si>
  <si>
    <t>SRV ORION-CENAM</t>
  </si>
  <si>
    <t>Srv-Wsus</t>
  </si>
  <si>
    <t>SRV Alemania</t>
  </si>
  <si>
    <t>SRV PEGASO</t>
  </si>
  <si>
    <t>SRV - Hora Legal principal</t>
  </si>
  <si>
    <t>SRV CENTAUROS</t>
  </si>
  <si>
    <t>SRV Hora legal - bkp</t>
  </si>
  <si>
    <t>SRV HERMES</t>
  </si>
  <si>
    <t>SRV HYDRA</t>
  </si>
  <si>
    <t>Planta Telefónica</t>
  </si>
  <si>
    <t>Srv-Bases-de-Datos</t>
  </si>
  <si>
    <t>srvcactus</t>
  </si>
  <si>
    <t>Srv_SGDEA</t>
  </si>
  <si>
    <t>isolucion-producción</t>
  </si>
  <si>
    <t>srv_backup</t>
  </si>
  <si>
    <t>srv_bd2</t>
  </si>
  <si>
    <t>Adm_SAN</t>
  </si>
  <si>
    <t>BK_pweb</t>
  </si>
  <si>
    <t>Srv_Transferencias</t>
  </si>
  <si>
    <t>Herramientas de copia de respaldo</t>
  </si>
  <si>
    <t>Unidad de cintas LTO6</t>
  </si>
  <si>
    <t>Cintas de backup</t>
  </si>
  <si>
    <t>Srv_backup</t>
  </si>
  <si>
    <t>Equipo de cómputo esclavo</t>
  </si>
  <si>
    <t>Computador asociado a Espectrofotómetro Thermo Scientific Evolution 201</t>
  </si>
  <si>
    <t>Computador asociado al Cromatógrafo de Gases 7890A con detectores FID, ECD y MSD</t>
  </si>
  <si>
    <t>Computador asociado al cromatógrafo de gases 7890A con detectores  FID y TCD con HS</t>
  </si>
  <si>
    <t>Laboratorios</t>
  </si>
  <si>
    <t>300.105.1 Estudios Técnicos designación de Patrones Nacionales</t>
  </si>
  <si>
    <t>300.195.19 Planes quinquenales</t>
  </si>
  <si>
    <t>310.130 HOJA DE VIDA DE EQUIPOS METROLÓGICOS</t>
  </si>
  <si>
    <t>310.135.10 Informes de Investigaciones Metrológicas</t>
  </si>
  <si>
    <t>310.145.2 Instrumentos de control de aseguramiento de la validez de los resultados</t>
  </si>
  <si>
    <t>320.130 HOJA DE VIDA DE EQUIPOS METROLÓGICOS</t>
  </si>
  <si>
    <t>320.135.10 Informes de Investigaciones Metrológicas</t>
  </si>
  <si>
    <t>320.145.2 Instrumentos de control de aseguramiento de la validez de los resultados</t>
  </si>
  <si>
    <t>330.130 HOJA DE VIDA DE EQUIPOS METROLÓGICOS</t>
  </si>
  <si>
    <t>330.135.10 Informes de Investigaciones Metrológicas</t>
  </si>
  <si>
    <t>330.145.2 Instrumentos de control de aseguramiento de la validez de los resultados</t>
  </si>
  <si>
    <t>310.205.3 Proceso de calibración y medición densidad</t>
  </si>
  <si>
    <t>310.205.5 Proceso de calibración y medición flujo de gas</t>
  </si>
  <si>
    <t>310.205.7 Proceso de calibración y medición masa</t>
  </si>
  <si>
    <t>310.205.13 Proceso de calibración y medición volumen</t>
  </si>
  <si>
    <t>310.205.14 Proceso de calibración y medición viscosidad</t>
  </si>
  <si>
    <t>320.205.4 Proceso de calibración y medición longitud</t>
  </si>
  <si>
    <t>320.205.6 Proceso de calibración y medición fuerza</t>
  </si>
  <si>
    <t>320.205.8 Proceso de calibración y medición par torsional</t>
  </si>
  <si>
    <t>320.205.10 Proceso de calibración y medición presión</t>
  </si>
  <si>
    <t>320.205.5 Proceso de calibración y medición dureza</t>
  </si>
  <si>
    <t>330.205.2 Proceso de calibración Y medición corriente continua</t>
  </si>
  <si>
    <t>330.205.11 Proceso de calibración y medición temperatura y humedad</t>
  </si>
  <si>
    <t>330.205.9 Proceso de calibración y medición potencia  y energía</t>
  </si>
  <si>
    <t>330.205.12 Proceso de calibración y medición, tiempo y frecuencia</t>
  </si>
  <si>
    <t>320.205.16 Proceso de calibración y medición calidad de energía</t>
  </si>
  <si>
    <t>220.75.1 Contrato de Ciencia y Tecnología</t>
  </si>
  <si>
    <t>220.75.2 Contrato de Compraventa</t>
  </si>
  <si>
    <t>220.75.3 Contrato de Consultoría</t>
  </si>
  <si>
    <t>220.75.4 Contrato de obra</t>
  </si>
  <si>
    <t>220.75.5 Contrato de Prestación de Servicios</t>
  </si>
  <si>
    <t>220.75.6 Contrato de Suministro</t>
  </si>
  <si>
    <t xml:space="preserve">Formato Mapa Riesgos </t>
  </si>
  <si>
    <t>Proceso:</t>
  </si>
  <si>
    <t>Objetivo:</t>
  </si>
  <si>
    <t>Alcance:</t>
  </si>
  <si>
    <t>Plan de Acción</t>
  </si>
  <si>
    <t>Fecha Seguimiento</t>
  </si>
  <si>
    <t>Seguimiento</t>
  </si>
  <si>
    <t>SDFASDFAS</t>
  </si>
  <si>
    <t>Registro Sustancial</t>
  </si>
  <si>
    <t>Registro Material</t>
  </si>
  <si>
    <t>Sin registro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</si>
</sst>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yyyy\-mm\-dd;@"/>
    <numFmt numFmtId="166" formatCode="yyyy/mm/dd;@"/>
  </numFmts>
  <fonts count="164"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22"/>
      <color theme="1"/>
      <name val="Arial Narrow"/>
      <family val="2"/>
    </font>
    <font>
      <sz val="11"/>
      <name val="Arial"/>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sz val="11"/>
      <color theme="1"/>
      <name val="Calibri"/>
      <family val="2"/>
    </font>
    <font>
      <b/>
      <u/>
      <sz val="11"/>
      <color theme="1"/>
      <name val="Arial Narrow"/>
      <family val="2"/>
    </font>
    <font>
      <b/>
      <sz val="10"/>
      <color theme="1"/>
      <name val="Arial Narrow"/>
      <family val="2"/>
    </font>
    <font>
      <b/>
      <sz val="9"/>
      <color theme="1"/>
      <name val="Arial Narrow"/>
      <family val="2"/>
    </font>
    <font>
      <sz val="9"/>
      <color theme="1"/>
      <name val="Arial Narrow"/>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16"/>
      <color theme="1"/>
      <name val="Calibri"/>
      <family val="2"/>
    </font>
    <font>
      <sz val="24"/>
      <color theme="1"/>
      <name val="Arial Narrow"/>
      <family val="2"/>
    </font>
    <font>
      <b/>
      <sz val="20"/>
      <color theme="1"/>
      <name val="Calibri"/>
      <family val="2"/>
    </font>
    <font>
      <b/>
      <sz val="12"/>
      <color rgb="FF000000"/>
      <name val="Calibri"/>
      <family val="2"/>
    </font>
    <font>
      <b/>
      <sz val="24"/>
      <color rgb="FF000000"/>
      <name val="Calibri"/>
      <family val="2"/>
    </font>
    <font>
      <b/>
      <sz val="18"/>
      <color rgb="FF000000"/>
      <name val="Calibri"/>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FF0000"/>
      <name val="Calibri"/>
      <family val="2"/>
    </font>
    <font>
      <sz val="11"/>
      <color rgb="FF030303"/>
      <name val="Arial"/>
      <family val="2"/>
    </font>
    <font>
      <sz val="10"/>
      <color theme="1"/>
      <name val="Calibri"/>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1"/>
      <color rgb="FFE36C09"/>
      <name val="Arial Narrow"/>
      <family val="2"/>
    </font>
    <font>
      <b/>
      <sz val="9"/>
      <color rgb="FFE36C09"/>
      <name val="Arial Narrow"/>
      <family val="2"/>
    </font>
    <font>
      <b/>
      <sz val="12"/>
      <color rgb="FFE36C09"/>
      <name val="Arial Narrow"/>
      <family val="2"/>
    </font>
    <font>
      <b/>
      <sz val="11"/>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b/>
      <sz val="12"/>
      <color theme="1"/>
      <name val="Calibri"/>
      <family val="2"/>
      <scheme val="minor"/>
    </font>
    <font>
      <u/>
      <sz val="11"/>
      <color theme="10"/>
      <name val="Calibri"/>
      <family val="2"/>
      <scheme val="minor"/>
    </font>
    <font>
      <u/>
      <sz val="11"/>
      <color theme="0"/>
      <name val="Calibri"/>
      <family val="2"/>
      <scheme val="minor"/>
    </font>
    <font>
      <sz val="10"/>
      <color theme="1"/>
      <name val="Calibri"/>
      <family val="2"/>
      <scheme val="minor"/>
    </font>
    <font>
      <b/>
      <sz val="10"/>
      <color theme="1"/>
      <name val="Calibri"/>
      <family val="2"/>
      <scheme val="minor"/>
    </font>
    <font>
      <u/>
      <sz val="11"/>
      <name val="Calibri"/>
      <family val="2"/>
      <scheme val="minor"/>
    </font>
    <font>
      <i/>
      <sz val="10"/>
      <color theme="1"/>
      <name val="Calibri"/>
      <family val="2"/>
      <scheme val="minor"/>
    </font>
    <font>
      <sz val="9"/>
      <color indexed="81"/>
      <name val="Tahoma"/>
      <family val="2"/>
    </font>
    <font>
      <sz val="8"/>
      <color theme="1"/>
      <name val="Calibri"/>
      <family val="2"/>
      <scheme val="minor"/>
    </font>
    <font>
      <sz val="8"/>
      <name val="Calibri"/>
      <family val="2"/>
      <scheme val="minor"/>
    </font>
    <font>
      <sz val="8"/>
      <color rgb="FFFF0000"/>
      <name val="Calibri"/>
      <family val="2"/>
      <scheme val="minor"/>
    </font>
    <font>
      <b/>
      <sz val="11"/>
      <color rgb="FFFF0000"/>
      <name val="Calibri"/>
      <family val="2"/>
      <scheme val="minor"/>
    </font>
    <font>
      <b/>
      <sz val="11"/>
      <color rgb="FFFFFFFF"/>
      <name val="Calibri"/>
      <family val="2"/>
      <scheme val="minor"/>
    </font>
    <font>
      <b/>
      <sz val="9"/>
      <color rgb="FF0070C0"/>
      <name val="Calibri"/>
      <family val="2"/>
      <scheme val="minor"/>
    </font>
    <font>
      <sz val="9"/>
      <color rgb="FFFF0000"/>
      <name val="Calibri"/>
      <family val="2"/>
      <scheme val="minor"/>
    </font>
    <font>
      <sz val="11"/>
      <color theme="1"/>
      <name val="Arial"/>
      <family val="2"/>
    </font>
    <font>
      <b/>
      <sz val="14"/>
      <color rgb="FFE36C09"/>
      <name val="Arial Narrow"/>
      <family val="2"/>
    </font>
    <font>
      <sz val="14"/>
      <name val="Arial"/>
      <family val="2"/>
    </font>
    <font>
      <b/>
      <sz val="11"/>
      <color theme="2" tint="-4.9989318521683403E-2"/>
      <name val="Arial"/>
      <family val="2"/>
    </font>
    <font>
      <b/>
      <sz val="14"/>
      <color theme="0"/>
      <name val="Arial"/>
      <family val="2"/>
    </font>
    <font>
      <sz val="11"/>
      <color theme="1"/>
      <name val="Arial"/>
      <family val="2"/>
    </font>
    <font>
      <b/>
      <sz val="11"/>
      <color theme="1"/>
      <name val="Arial"/>
      <family val="2"/>
    </font>
    <font>
      <sz val="11"/>
      <color rgb="FF000000"/>
      <name val="Calibri"/>
      <family val="2"/>
    </font>
    <font>
      <sz val="10"/>
      <name val="Calibri"/>
      <family val="2"/>
    </font>
    <font>
      <sz val="11"/>
      <color rgb="FF444444"/>
      <name val="Calibri"/>
      <family val="2"/>
      <charset val="1"/>
    </font>
    <font>
      <b/>
      <sz val="11"/>
      <color theme="1"/>
      <name val="Calibri"/>
      <family val="2"/>
    </font>
    <font>
      <sz val="10"/>
      <name val="Arial Narrow"/>
      <family val="2"/>
    </font>
    <font>
      <b/>
      <sz val="10"/>
      <name val="Arial Narrow"/>
      <family val="2"/>
    </font>
    <font>
      <i/>
      <sz val="10"/>
      <name val="Arial Narrow"/>
      <family val="2"/>
    </font>
    <font>
      <i/>
      <sz val="10"/>
      <color rgb="FF000000"/>
      <name val="Arial Narrow"/>
      <family val="2"/>
    </font>
    <font>
      <b/>
      <i/>
      <u/>
      <sz val="10"/>
      <color rgb="FF000000"/>
      <name val="Arial Narrow"/>
      <family val="2"/>
    </font>
    <font>
      <b/>
      <sz val="16"/>
      <name val="Arial Narrow"/>
      <family val="2"/>
    </font>
    <font>
      <sz val="16"/>
      <name val="Arial"/>
      <family val="2"/>
    </font>
    <font>
      <b/>
      <sz val="9"/>
      <color rgb="FF000000"/>
      <name val="Arial Narrow"/>
      <family val="2"/>
    </font>
    <font>
      <b/>
      <sz val="11"/>
      <color rgb="FF000000"/>
      <name val="Arial Narrow"/>
      <family val="2"/>
    </font>
    <font>
      <b/>
      <sz val="11"/>
      <color theme="1"/>
      <name val="Verdana"/>
      <family val="2"/>
    </font>
    <font>
      <sz val="11"/>
      <name val="Verdana"/>
      <family val="2"/>
    </font>
    <font>
      <sz val="11"/>
      <color theme="1"/>
      <name val="Verdana"/>
      <family val="2"/>
    </font>
    <font>
      <b/>
      <sz val="14"/>
      <color theme="1"/>
      <name val="Verdana"/>
      <family val="2"/>
    </font>
    <font>
      <b/>
      <sz val="11"/>
      <color rgb="FF000000"/>
      <name val="Verdana"/>
      <family val="2"/>
    </font>
    <font>
      <sz val="11"/>
      <color rgb="FF000000"/>
      <name val="Verdana"/>
      <family val="2"/>
    </font>
    <font>
      <sz val="9"/>
      <color theme="1"/>
      <name val="Verdana"/>
      <family val="2"/>
    </font>
    <font>
      <sz val="10"/>
      <color theme="1"/>
      <name val="Verdana"/>
      <family val="2"/>
    </font>
    <font>
      <b/>
      <sz val="16"/>
      <color theme="2"/>
      <name val="Verdana"/>
      <family val="2"/>
    </font>
    <font>
      <sz val="16"/>
      <color theme="2"/>
      <name val="Verdana"/>
      <family val="2"/>
    </font>
    <font>
      <b/>
      <u/>
      <sz val="11"/>
      <color theme="1"/>
      <name val="Verdana"/>
      <family val="2"/>
    </font>
    <font>
      <b/>
      <sz val="10"/>
      <color theme="1"/>
      <name val="Verdana"/>
      <family val="2"/>
    </font>
    <font>
      <b/>
      <sz val="9"/>
      <color theme="1"/>
      <name val="Verdana"/>
      <family val="2"/>
    </font>
    <font>
      <b/>
      <sz val="9"/>
      <color rgb="FFE36C09"/>
      <name val="Verdana"/>
      <family val="2"/>
    </font>
    <font>
      <sz val="11"/>
      <color theme="1"/>
      <name val="Arial"/>
      <family val="2"/>
    </font>
    <font>
      <sz val="11"/>
      <color rgb="FF000000"/>
      <name val="Arial Narrow"/>
      <family val="2"/>
    </font>
    <font>
      <sz val="11"/>
      <name val="Arial Narrow"/>
      <family val="2"/>
    </font>
    <font>
      <sz val="10"/>
      <color rgb="FF000000"/>
      <name val="Verdana"/>
      <family val="2"/>
    </font>
    <font>
      <sz val="11"/>
      <color rgb="FF000000"/>
      <name val="Arial"/>
      <family val="2"/>
    </font>
    <font>
      <sz val="8"/>
      <name val="Arial"/>
      <family val="2"/>
    </font>
    <font>
      <b/>
      <sz val="11"/>
      <name val="Arial Narrow"/>
      <family val="2"/>
    </font>
    <font>
      <sz val="11"/>
      <color theme="1"/>
      <name val="Arial"/>
      <family val="2"/>
    </font>
    <font>
      <b/>
      <sz val="12"/>
      <name val="Arial"/>
      <family val="2"/>
    </font>
    <font>
      <sz val="12"/>
      <name val="Arial"/>
      <family val="2"/>
    </font>
    <font>
      <b/>
      <sz val="10"/>
      <color rgb="FF000000"/>
      <name val="Arial Narrow"/>
      <family val="2"/>
    </font>
    <font>
      <b/>
      <sz val="10"/>
      <color rgb="FF000000"/>
      <name val="Arial"/>
      <family val="2"/>
    </font>
    <font>
      <sz val="10"/>
      <color rgb="FF000000"/>
      <name val="Arial"/>
      <family val="2"/>
    </font>
    <font>
      <b/>
      <sz val="8"/>
      <color rgb="FF000000"/>
      <name val="Calibri"/>
      <family val="2"/>
      <scheme val="minor"/>
    </font>
    <font>
      <sz val="8"/>
      <color rgb="FF000000"/>
      <name val="Calibri"/>
      <family val="2"/>
      <scheme val="minor"/>
    </font>
    <font>
      <b/>
      <sz val="8"/>
      <name val="Calibri"/>
      <family val="2"/>
      <scheme val="minor"/>
    </font>
    <font>
      <u/>
      <sz val="11"/>
      <color theme="10"/>
      <name val="Arial"/>
      <family val="2"/>
    </font>
    <font>
      <sz val="8"/>
      <color rgb="FF000000"/>
      <name val="Calibri"/>
      <family val="2"/>
    </font>
    <font>
      <sz val="8"/>
      <color theme="1"/>
      <name val="Calibri"/>
      <family val="2"/>
      <scheme val="major"/>
    </font>
    <font>
      <b/>
      <sz val="8"/>
      <color theme="0"/>
      <name val="Calibri"/>
      <family val="2"/>
      <scheme val="major"/>
    </font>
    <font>
      <b/>
      <sz val="8"/>
      <color theme="1"/>
      <name val="Calibri"/>
      <family val="2"/>
      <scheme val="major"/>
    </font>
    <font>
      <b/>
      <sz val="8"/>
      <color rgb="FF000000"/>
      <name val="Calibri"/>
      <family val="2"/>
      <scheme val="major"/>
    </font>
    <font>
      <sz val="8"/>
      <name val="Calibri"/>
      <family val="2"/>
      <scheme val="major"/>
    </font>
    <font>
      <sz val="8"/>
      <name val="Arial"/>
      <family val="2"/>
    </font>
    <font>
      <b/>
      <sz val="11"/>
      <color rgb="FFFF0000"/>
      <name val="Arial Narrow"/>
      <family val="2"/>
    </font>
    <font>
      <sz val="11"/>
      <color theme="0"/>
      <name val="Arial"/>
      <family val="2"/>
    </font>
    <font>
      <b/>
      <sz val="10"/>
      <color rgb="FF000000"/>
      <name val="Verdana"/>
      <family val="2"/>
    </font>
    <font>
      <b/>
      <sz val="11"/>
      <color rgb="FF7030A0"/>
      <name val="Arial"/>
      <family val="2"/>
    </font>
    <font>
      <sz val="11"/>
      <color rgb="FF7030A0"/>
      <name val="Arial"/>
      <family val="2"/>
    </font>
    <font>
      <b/>
      <sz val="11"/>
      <color rgb="FF000000"/>
      <name val="Arial"/>
      <family val="2"/>
    </font>
    <font>
      <b/>
      <sz val="11"/>
      <color rgb="FFE36C09"/>
      <name val="Verdana"/>
      <family val="2"/>
    </font>
    <font>
      <sz val="10"/>
      <name val="Verdana"/>
      <family val="2"/>
    </font>
    <font>
      <b/>
      <sz val="10"/>
      <name val="Verdana"/>
      <family val="2"/>
    </font>
    <font>
      <sz val="11"/>
      <color rgb="FF000000"/>
      <name val="Verdana"/>
    </font>
    <font>
      <b/>
      <sz val="11"/>
      <color rgb="FF000000"/>
      <name val="Arial Narrow"/>
    </font>
    <font>
      <sz val="11"/>
      <color rgb="FF000000"/>
      <name val="Arial Narrow"/>
    </font>
    <font>
      <b/>
      <sz val="8"/>
      <color rgb="FF000000"/>
      <name val="Calibri"/>
      <scheme val="minor"/>
    </font>
    <font>
      <sz val="8"/>
      <color rgb="FF000000"/>
      <name val="Calibri"/>
      <scheme val="minor"/>
    </font>
    <font>
      <b/>
      <sz val="10"/>
      <color rgb="FF000000"/>
      <name val="Arial Narrow"/>
    </font>
    <font>
      <sz val="10"/>
      <color rgb="FF000000"/>
      <name val="Arial Narrow"/>
    </font>
    <font>
      <sz val="10"/>
      <color rgb="FF000000"/>
      <name val="Verdana"/>
    </font>
    <font>
      <b/>
      <sz val="10"/>
      <color rgb="FF000000"/>
      <name val="Verdana"/>
    </font>
    <font>
      <strike/>
      <sz val="10"/>
      <color rgb="FF000000"/>
      <name val="Verdana"/>
    </font>
    <font>
      <b/>
      <strike/>
      <sz val="10"/>
      <color rgb="FF000000"/>
      <name val="Verdana"/>
    </font>
    <font>
      <b/>
      <sz val="11"/>
      <color rgb="FF000000"/>
      <name val="Verdana"/>
    </font>
    <font>
      <b/>
      <sz val="11"/>
      <color rgb="FF000000"/>
      <name val="Arial"/>
    </font>
    <font>
      <sz val="11"/>
      <color rgb="FF000000"/>
      <name val="Arial"/>
    </font>
    <font>
      <b/>
      <sz val="11"/>
      <color rgb="FF7030A0"/>
      <name val="Arial"/>
    </font>
    <font>
      <sz val="11"/>
      <color theme="1"/>
      <name val="Arial Narrow"/>
    </font>
    <font>
      <sz val="10"/>
      <name val="Calibri"/>
      <family val="2"/>
      <scheme val="minor"/>
    </font>
    <font>
      <sz val="10"/>
      <color rgb="FF000000"/>
      <name val="Calibri"/>
      <scheme val="minor"/>
    </font>
    <font>
      <b/>
      <sz val="10"/>
      <color rgb="FF000000"/>
      <name val="Calibri"/>
      <scheme val="minor"/>
    </font>
    <font>
      <sz val="10"/>
      <color rgb="FF000000"/>
      <name val="Calibri"/>
      <family val="2"/>
      <scheme val="minor"/>
    </font>
    <font>
      <b/>
      <sz val="10"/>
      <color rgb="FF000000"/>
      <name val="Calibri"/>
      <family val="2"/>
      <scheme val="minor"/>
    </font>
    <font>
      <sz val="10"/>
      <color rgb="FF000000"/>
      <name val="Calibri"/>
      <family val="2"/>
    </font>
    <font>
      <b/>
      <sz val="8"/>
      <color rgb="FF000000"/>
      <name val="Calibri"/>
      <scheme val="major"/>
    </font>
    <font>
      <sz val="8"/>
      <color rgb="FF000000"/>
      <name val="Calibri"/>
      <scheme val="major"/>
    </font>
  </fonts>
  <fills count="43">
    <fill>
      <patternFill patternType="none"/>
    </fill>
    <fill>
      <patternFill patternType="gray125"/>
    </fill>
    <fill>
      <patternFill patternType="solid">
        <fgColor rgb="FFFBD4B4"/>
        <bgColor rgb="FFFBD4B4"/>
      </patternFill>
    </fill>
    <fill>
      <patternFill patternType="solid">
        <fgColor theme="0"/>
        <bgColor theme="0"/>
      </patternFill>
    </fill>
    <fill>
      <patternFill patternType="solid">
        <fgColor rgb="FFFF0000"/>
        <bgColor rgb="FFFF0000"/>
      </patternFill>
    </fill>
    <fill>
      <patternFill patternType="solid">
        <fgColor rgb="FFFFFF00"/>
        <bgColor rgb="FFFFFF00"/>
      </patternFill>
    </fill>
    <fill>
      <patternFill patternType="solid">
        <fgColor rgb="FFFABF8F"/>
        <bgColor rgb="FFFABF8F"/>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92D050"/>
        <bgColor rgb="FF92D050"/>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
      <patternFill patternType="solid">
        <fgColor rgb="FFFFC0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rgb="FF002060"/>
        <bgColor rgb="FFFABF8F"/>
      </patternFill>
    </fill>
    <fill>
      <patternFill patternType="solid">
        <fgColor rgb="FF002060"/>
        <bgColor indexed="64"/>
      </patternFill>
    </fill>
    <fill>
      <patternFill patternType="solid">
        <fgColor theme="5"/>
        <bgColor indexed="64"/>
      </patternFill>
    </fill>
    <fill>
      <patternFill patternType="solid">
        <fgColor rgb="FF0070C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4" tint="0.39997558519241921"/>
        <bgColor indexed="64"/>
      </patternFill>
    </fill>
    <fill>
      <patternFill patternType="solid">
        <fgColor theme="9"/>
        <bgColor indexed="64"/>
      </patternFill>
    </fill>
    <fill>
      <patternFill patternType="solid">
        <fgColor theme="4" tint="-0.249977111117893"/>
        <bgColor indexed="64"/>
      </patternFill>
    </fill>
    <fill>
      <patternFill patternType="solid">
        <fgColor rgb="FFFFFFFF"/>
        <bgColor rgb="FF000000"/>
      </patternFill>
    </fill>
    <fill>
      <patternFill patternType="solid">
        <fgColor rgb="FFFFFFFF"/>
        <bgColor rgb="FFFFFFFF"/>
      </patternFill>
    </fill>
    <fill>
      <patternFill patternType="solid">
        <fgColor rgb="FF00B0F0"/>
        <bgColor indexed="64"/>
      </patternFill>
    </fill>
    <fill>
      <patternFill patternType="solid">
        <fgColor theme="4" tint="0.59999389629810485"/>
        <bgColor indexed="64"/>
      </patternFill>
    </fill>
    <fill>
      <patternFill patternType="solid">
        <fgColor rgb="FF00B050"/>
        <bgColor rgb="FFFABF8F"/>
      </patternFill>
    </fill>
    <fill>
      <patternFill patternType="solid">
        <fgColor theme="8" tint="0.39997558519241921"/>
        <bgColor indexed="64"/>
      </patternFill>
    </fill>
    <fill>
      <patternFill patternType="solid">
        <fgColor theme="8" tint="0.39997558519241921"/>
        <bgColor rgb="FFFBD4B4"/>
      </patternFill>
    </fill>
    <fill>
      <patternFill patternType="solid">
        <fgColor theme="0"/>
        <bgColor indexed="64"/>
      </patternFill>
    </fill>
    <fill>
      <patternFill patternType="solid">
        <fgColor theme="8" tint="-0.249977111117893"/>
        <bgColor indexed="64"/>
      </patternFill>
    </fill>
  </fills>
  <borders count="138">
    <border>
      <left/>
      <right/>
      <top/>
      <bottom/>
      <diagonal/>
    </border>
    <border>
      <left style="dotted">
        <color rgb="FFE36C09"/>
      </left>
      <right/>
      <top style="dotted">
        <color rgb="FFE36C09"/>
      </top>
      <bottom/>
      <diagonal/>
    </border>
    <border>
      <left/>
      <right/>
      <top style="dotted">
        <color rgb="FFE36C09"/>
      </top>
      <bottom/>
      <diagonal/>
    </border>
    <border>
      <left style="dotted">
        <color rgb="FFE36C09"/>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diagonal/>
    </border>
    <border>
      <left style="dotted">
        <color rgb="FFE36C09"/>
      </left>
      <right/>
      <top/>
      <bottom/>
      <diagonal/>
    </border>
    <border>
      <left style="dotted">
        <color rgb="FFE36C09"/>
      </left>
      <right style="dotted">
        <color rgb="FFE36C09"/>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style="dotted">
        <color rgb="FFE36C09"/>
      </right>
      <top/>
      <bottom/>
      <diagonal/>
    </border>
    <border>
      <left/>
      <right style="dotted">
        <color rgb="FFE36C09"/>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dashed">
        <color theme="8" tint="-0.249977111117893"/>
      </left>
      <right style="dashed">
        <color theme="8" tint="-0.249977111117893"/>
      </right>
      <top style="dashed">
        <color theme="8" tint="-0.249977111117893"/>
      </top>
      <bottom/>
      <diagonal/>
    </border>
    <border>
      <left style="dashed">
        <color theme="8" tint="-0.249977111117893"/>
      </left>
      <right style="dashed">
        <color theme="8" tint="-0.249977111117893"/>
      </right>
      <top style="thin">
        <color theme="8" tint="0.39997558519241921"/>
      </top>
      <bottom/>
      <diagonal/>
    </border>
    <border>
      <left style="dashed">
        <color theme="8" tint="-0.249977111117893"/>
      </left>
      <right style="dashed">
        <color theme="8" tint="-0.249977111117893"/>
      </right>
      <top/>
      <bottom style="dashed">
        <color theme="8" tint="-0.249977111117893"/>
      </bottom>
      <diagonal/>
    </border>
    <border>
      <left style="dashed">
        <color theme="8" tint="-0.249977111117893"/>
      </left>
      <right style="dashed">
        <color theme="8" tint="-0.249977111117893"/>
      </right>
      <top style="dashed">
        <color theme="8" tint="-0.249977111117893"/>
      </top>
      <bottom style="dashed">
        <color theme="8" tint="-0.249977111117893"/>
      </bottom>
      <diagonal/>
    </border>
    <border>
      <left style="dashed">
        <color theme="8" tint="-0.249977111117893"/>
      </left>
      <right/>
      <top/>
      <bottom style="dashed">
        <color theme="8" tint="-0.249977111117893"/>
      </bottom>
      <diagonal/>
    </border>
    <border>
      <left style="dashed">
        <color theme="8" tint="-0.249977111117893"/>
      </left>
      <right style="dashed">
        <color rgb="FF002060"/>
      </right>
      <top style="dashed">
        <color theme="8" tint="-0.249977111117893"/>
      </top>
      <bottom style="dashed">
        <color theme="8" tint="-0.249977111117893"/>
      </bottom>
      <diagonal/>
    </border>
    <border>
      <left style="dashed">
        <color rgb="FF002060"/>
      </left>
      <right style="dashed">
        <color rgb="FF002060"/>
      </right>
      <top style="dashed">
        <color rgb="FF002060"/>
      </top>
      <bottom style="dashed">
        <color theme="8" tint="-0.249977111117893"/>
      </bottom>
      <diagonal/>
    </border>
    <border>
      <left style="dashed">
        <color rgb="FF002060"/>
      </left>
      <right style="dashed">
        <color rgb="FF002060"/>
      </right>
      <top style="dashed">
        <color theme="8" tint="-0.249977111117893"/>
      </top>
      <bottom style="dashed">
        <color theme="8" tint="-0.249977111117893"/>
      </bottom>
      <diagonal/>
    </border>
    <border>
      <left style="dashed">
        <color theme="8" tint="-0.249977111117893"/>
      </left>
      <right style="dashed">
        <color rgb="FF002060"/>
      </right>
      <top style="dashed">
        <color theme="8" tint="-0.249977111117893"/>
      </top>
      <bottom/>
      <diagonal/>
    </border>
    <border>
      <left style="dashed">
        <color rgb="FF002060"/>
      </left>
      <right style="dashed">
        <color rgb="FF002060"/>
      </right>
      <top style="dashed">
        <color theme="8" tint="-0.249977111117893"/>
      </top>
      <bottom/>
      <diagonal/>
    </border>
    <border>
      <left style="dashed">
        <color theme="8" tint="-0.249977111117893"/>
      </left>
      <right style="dashed">
        <color rgb="FF002060"/>
      </right>
      <top style="hair">
        <color indexed="64"/>
      </top>
      <bottom/>
      <diagonal/>
    </border>
    <border>
      <left style="dashed">
        <color rgb="FF002060"/>
      </left>
      <right style="dashed">
        <color rgb="FF002060"/>
      </right>
      <top style="hair">
        <color indexed="64"/>
      </top>
      <bottom/>
      <diagonal/>
    </border>
    <border>
      <left style="dashed">
        <color rgb="FF002060"/>
      </left>
      <right style="dashed">
        <color theme="8" tint="-0.249977111117893"/>
      </right>
      <top style="dashed">
        <color rgb="FF002060"/>
      </top>
      <bottom style="dashed">
        <color rgb="FF002060"/>
      </bottom>
      <diagonal/>
    </border>
    <border>
      <left style="dashed">
        <color theme="8" tint="-0.249977111117893"/>
      </left>
      <right style="dashed">
        <color rgb="FF002060"/>
      </right>
      <top style="dashed">
        <color rgb="FF002060"/>
      </top>
      <bottom style="dashed">
        <color rgb="FF002060"/>
      </bottom>
      <diagonal/>
    </border>
    <border>
      <left style="dashed">
        <color rgb="FF002060"/>
      </left>
      <right style="dashed">
        <color rgb="FF002060"/>
      </right>
      <top style="dashed">
        <color rgb="FF002060"/>
      </top>
      <bottom style="dashed">
        <color rgb="FF002060"/>
      </bottom>
      <diagonal/>
    </border>
    <border>
      <left style="dashed">
        <color theme="8" tint="-0.249977111117893"/>
      </left>
      <right style="dashed">
        <color theme="8" tint="-0.249977111117893"/>
      </right>
      <top style="dashed">
        <color rgb="FF002060"/>
      </top>
      <bottom style="dashed">
        <color rgb="FF00206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indexed="64"/>
      </left>
      <right style="thin">
        <color indexed="64"/>
      </right>
      <top/>
      <bottom/>
      <diagonal/>
    </border>
    <border>
      <left/>
      <right style="dotted">
        <color rgb="FFE36C09"/>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rgb="FF000000"/>
      </left>
      <right style="medium">
        <color rgb="FF000000"/>
      </right>
      <top style="thin">
        <color rgb="FF000000"/>
      </top>
      <bottom/>
      <diagonal/>
    </border>
    <border>
      <left style="medium">
        <color rgb="FF000000"/>
      </left>
      <right style="medium">
        <color rgb="FF000000"/>
      </right>
      <top style="thin">
        <color rgb="FF000000"/>
      </top>
      <bottom/>
      <diagonal/>
    </border>
    <border>
      <left style="thin">
        <color rgb="FF000000"/>
      </left>
      <right style="medium">
        <color rgb="FF000000"/>
      </right>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rgb="FF000000"/>
      </top>
      <bottom style="thin">
        <color rgb="FF000000"/>
      </bottom>
      <diagonal/>
    </border>
    <border>
      <left/>
      <right style="medium">
        <color indexed="64"/>
      </right>
      <top style="medium">
        <color rgb="FF000000"/>
      </top>
      <bottom style="thin">
        <color rgb="FF000000"/>
      </bottom>
      <diagonal/>
    </border>
    <border>
      <left style="medium">
        <color indexed="64"/>
      </left>
      <right/>
      <top style="thin">
        <color rgb="FF000000"/>
      </top>
      <bottom/>
      <diagonal/>
    </border>
    <border>
      <left/>
      <right style="medium">
        <color indexed="64"/>
      </right>
      <top style="thin">
        <color rgb="FF000000"/>
      </top>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ashed">
        <color theme="2" tint="-4.9989318521683403E-2"/>
      </left>
      <right style="dashed">
        <color theme="2" tint="-4.9989318521683403E-2"/>
      </right>
      <top style="dashed">
        <color theme="2" tint="-4.9989318521683403E-2"/>
      </top>
      <bottom style="dashed">
        <color theme="2" tint="-4.9989318521683403E-2"/>
      </bottom>
      <diagonal/>
    </border>
    <border>
      <left style="dashed">
        <color theme="2" tint="-4.9989318521683403E-2"/>
      </left>
      <right/>
      <top style="dashed">
        <color theme="2" tint="-4.9989318521683403E-2"/>
      </top>
      <bottom style="dashed">
        <color theme="2" tint="-4.9989318521683403E-2"/>
      </bottom>
      <diagonal/>
    </border>
    <border>
      <left/>
      <right style="dashed">
        <color theme="2" tint="-4.9989318521683403E-2"/>
      </right>
      <top style="dashed">
        <color theme="2" tint="-4.9989318521683403E-2"/>
      </top>
      <bottom style="dashed">
        <color theme="2" tint="-4.9989318521683403E-2"/>
      </bottom>
      <diagonal/>
    </border>
    <border>
      <left style="dashed">
        <color theme="2" tint="-4.9989318521683403E-2"/>
      </left>
      <right style="dotted">
        <color rgb="FFE36C09"/>
      </right>
      <top style="dotted">
        <color rgb="FFE36C09"/>
      </top>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dashed">
        <color theme="8" tint="-0.249977111117893"/>
      </left>
      <right style="dashed">
        <color theme="8" tint="-0.249977111117893"/>
      </right>
      <top/>
      <bottom/>
      <diagonal/>
    </border>
    <border>
      <left style="dashed">
        <color theme="8" tint="-0.249977111117893"/>
      </left>
      <right/>
      <top style="dashed">
        <color theme="8" tint="-0.249977111117893"/>
      </top>
      <bottom/>
      <diagonal/>
    </border>
    <border>
      <left/>
      <right style="dashed">
        <color theme="8" tint="-0.249977111117893"/>
      </right>
      <top style="dashed">
        <color theme="8" tint="-0.249977111117893"/>
      </top>
      <bottom style="dashed">
        <color theme="8" tint="-0.249977111117893"/>
      </bottom>
      <diagonal/>
    </border>
    <border>
      <left/>
      <right style="dashed">
        <color rgb="FF002060"/>
      </right>
      <top style="dashed">
        <color rgb="FF002060"/>
      </top>
      <bottom style="dashed">
        <color rgb="FF002060"/>
      </bottom>
      <diagonal/>
    </border>
  </borders>
  <cellStyleXfs count="17">
    <xf numFmtId="0" fontId="0" fillId="0" borderId="0"/>
    <xf numFmtId="0" fontId="5" fillId="0" borderId="40"/>
    <xf numFmtId="0" fontId="59" fillId="0" borderId="40" applyNumberFormat="0" applyFill="0" applyBorder="0" applyAlignment="0" applyProtection="0"/>
    <xf numFmtId="0" fontId="78" fillId="0" borderId="40"/>
    <xf numFmtId="0" fontId="4" fillId="0" borderId="40"/>
    <xf numFmtId="9" fontId="4" fillId="0" borderId="40" applyFont="0" applyFill="0" applyBorder="0" applyAlignment="0" applyProtection="0"/>
    <xf numFmtId="0" fontId="3" fillId="0" borderId="40"/>
    <xf numFmtId="0" fontId="107" fillId="0" borderId="40"/>
    <xf numFmtId="0" fontId="107" fillId="0" borderId="40"/>
    <xf numFmtId="0" fontId="114" fillId="0" borderId="40"/>
    <xf numFmtId="0" fontId="2" fillId="0" borderId="40"/>
    <xf numFmtId="0" fontId="2" fillId="0" borderId="40"/>
    <xf numFmtId="0" fontId="73" fillId="0" borderId="40"/>
    <xf numFmtId="0" fontId="123" fillId="0" borderId="40" applyNumberFormat="0" applyFill="0" applyBorder="0" applyAlignment="0" applyProtection="0"/>
    <xf numFmtId="0" fontId="114" fillId="0" borderId="40"/>
    <xf numFmtId="0" fontId="114" fillId="0" borderId="40"/>
    <xf numFmtId="0" fontId="1" fillId="0" borderId="40"/>
  </cellStyleXfs>
  <cellXfs count="973">
    <xf numFmtId="0" fontId="0" fillId="0" borderId="0" xfId="0"/>
    <xf numFmtId="0" fontId="8" fillId="0" borderId="0" xfId="0" applyFont="1"/>
    <xf numFmtId="0" fontId="11" fillId="2" borderId="9" xfId="0" applyFont="1" applyFill="1" applyBorder="1" applyAlignment="1">
      <alignment horizontal="center" vertical="center" textRotation="90"/>
    </xf>
    <xf numFmtId="0" fontId="8" fillId="0" borderId="9" xfId="0" applyFont="1" applyBorder="1" applyAlignment="1">
      <alignment horizontal="center" vertical="center"/>
    </xf>
    <xf numFmtId="9" fontId="8" fillId="0" borderId="9" xfId="0" applyNumberFormat="1" applyFont="1" applyBorder="1" applyAlignment="1">
      <alignment horizontal="center" vertical="center"/>
    </xf>
    <xf numFmtId="164" fontId="8" fillId="0" borderId="9" xfId="0" applyNumberFormat="1" applyFont="1" applyBorder="1" applyAlignment="1">
      <alignment horizontal="center" vertical="center"/>
    </xf>
    <xf numFmtId="0" fontId="11" fillId="0" borderId="9" xfId="0" applyFont="1" applyBorder="1" applyAlignment="1">
      <alignment horizontal="center" vertical="center" textRotation="90" wrapText="1"/>
    </xf>
    <xf numFmtId="9" fontId="8" fillId="0" borderId="6" xfId="0" applyNumberFormat="1" applyFont="1" applyBorder="1" applyAlignment="1">
      <alignment horizontal="center" vertical="center"/>
    </xf>
    <xf numFmtId="0" fontId="11" fillId="0" borderId="9" xfId="0" applyFont="1" applyBorder="1" applyAlignment="1">
      <alignment horizontal="center" vertical="center" textRotation="90"/>
    </xf>
    <xf numFmtId="0" fontId="8" fillId="0" borderId="9" xfId="0" applyFont="1" applyBorder="1" applyAlignment="1">
      <alignment horizontal="center" vertical="center" textRotation="90"/>
    </xf>
    <xf numFmtId="0" fontId="8" fillId="0" borderId="6" xfId="0" applyFont="1" applyBorder="1" applyAlignment="1">
      <alignment horizontal="center" vertical="center" textRotation="90"/>
    </xf>
    <xf numFmtId="0" fontId="13" fillId="0" borderId="9" xfId="0" applyFont="1" applyBorder="1" applyAlignment="1">
      <alignment horizontal="left" vertical="center" wrapText="1"/>
    </xf>
    <xf numFmtId="0" fontId="8" fillId="0" borderId="9" xfId="0" applyFont="1" applyBorder="1" applyAlignment="1">
      <alignment horizontal="left" vertical="center"/>
    </xf>
    <xf numFmtId="164" fontId="8" fillId="4" borderId="9" xfId="0" applyNumberFormat="1" applyFont="1" applyFill="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center"/>
    </xf>
    <xf numFmtId="0" fontId="11" fillId="0" borderId="0" xfId="0" applyFont="1" applyAlignment="1">
      <alignment horizontal="left" vertical="center"/>
    </xf>
    <xf numFmtId="14" fontId="8" fillId="0" borderId="9" xfId="0" applyNumberFormat="1" applyFont="1" applyBorder="1" applyAlignment="1">
      <alignment horizontal="center" vertical="center"/>
    </xf>
    <xf numFmtId="0" fontId="8" fillId="0" borderId="9" xfId="0" applyFont="1" applyBorder="1" applyAlignment="1">
      <alignment horizontal="center" vertical="center" wrapText="1"/>
    </xf>
    <xf numFmtId="0" fontId="26" fillId="8" borderId="54" xfId="0" applyFont="1" applyFill="1" applyBorder="1" applyAlignment="1">
      <alignment horizontal="center" vertical="center" wrapText="1" readingOrder="1"/>
    </xf>
    <xf numFmtId="0" fontId="26" fillId="8" borderId="55" xfId="0" applyFont="1" applyFill="1" applyBorder="1" applyAlignment="1">
      <alignment horizontal="center" vertical="center" wrapText="1" readingOrder="1"/>
    </xf>
    <xf numFmtId="0" fontId="26" fillId="8" borderId="56" xfId="0" applyFont="1" applyFill="1" applyBorder="1" applyAlignment="1">
      <alignment horizontal="center" vertical="center" wrapText="1" readingOrder="1"/>
    </xf>
    <xf numFmtId="0" fontId="26" fillId="9" borderId="54" xfId="0" applyFont="1" applyFill="1" applyBorder="1" applyAlignment="1">
      <alignment horizontal="center" wrapText="1" readingOrder="1"/>
    </xf>
    <xf numFmtId="0" fontId="26" fillId="9" borderId="55" xfId="0" applyFont="1" applyFill="1" applyBorder="1" applyAlignment="1">
      <alignment horizontal="center" wrapText="1" readingOrder="1"/>
    </xf>
    <xf numFmtId="0" fontId="26" fillId="9" borderId="56" xfId="0" applyFont="1" applyFill="1" applyBorder="1" applyAlignment="1">
      <alignment horizontal="center" wrapText="1" readingOrder="1"/>
    </xf>
    <xf numFmtId="0" fontId="26" fillId="5" borderId="54" xfId="0" applyFont="1" applyFill="1" applyBorder="1" applyAlignment="1">
      <alignment horizontal="center" wrapText="1" readingOrder="1"/>
    </xf>
    <xf numFmtId="0" fontId="26" fillId="5" borderId="55" xfId="0" applyFont="1" applyFill="1" applyBorder="1" applyAlignment="1">
      <alignment horizontal="center" wrapText="1" readingOrder="1"/>
    </xf>
    <xf numFmtId="0" fontId="26" fillId="5" borderId="56" xfId="0" applyFont="1" applyFill="1" applyBorder="1" applyAlignment="1">
      <alignment horizontal="center" wrapText="1" readingOrder="1"/>
    </xf>
    <xf numFmtId="0" fontId="26" fillId="10" borderId="54" xfId="0" applyFont="1" applyFill="1" applyBorder="1" applyAlignment="1">
      <alignment horizontal="center" wrapText="1" readingOrder="1"/>
    </xf>
    <xf numFmtId="0" fontId="26" fillId="10" borderId="55" xfId="0" applyFont="1" applyFill="1" applyBorder="1" applyAlignment="1">
      <alignment horizontal="center" wrapText="1" readingOrder="1"/>
    </xf>
    <xf numFmtId="0" fontId="26" fillId="10" borderId="56" xfId="0" applyFont="1" applyFill="1" applyBorder="1" applyAlignment="1">
      <alignment horizontal="center" wrapText="1" readingOrder="1"/>
    </xf>
    <xf numFmtId="0" fontId="28" fillId="5" borderId="55" xfId="0" applyFont="1" applyFill="1" applyBorder="1" applyAlignment="1">
      <alignment horizontal="center" wrapText="1" readingOrder="1"/>
    </xf>
    <xf numFmtId="0" fontId="29" fillId="0" borderId="0" xfId="0" applyFont="1" applyAlignment="1">
      <alignment horizontal="center" vertical="center" wrapText="1"/>
    </xf>
    <xf numFmtId="0" fontId="31" fillId="0" borderId="57" xfId="0" applyFont="1" applyBorder="1" applyAlignment="1">
      <alignment horizontal="left" vertical="center" wrapText="1" readingOrder="1"/>
    </xf>
    <xf numFmtId="9" fontId="31" fillId="0" borderId="57" xfId="0" applyNumberFormat="1" applyFont="1" applyBorder="1" applyAlignment="1">
      <alignment horizontal="center" vertical="center" wrapText="1" readingOrder="1"/>
    </xf>
    <xf numFmtId="0" fontId="31" fillId="12" borderId="58" xfId="0" applyFont="1" applyFill="1" applyBorder="1" applyAlignment="1">
      <alignment horizontal="center" vertical="center" wrapText="1" readingOrder="1"/>
    </xf>
    <xf numFmtId="0" fontId="31" fillId="0" borderId="58" xfId="0" applyFont="1" applyBorder="1" applyAlignment="1">
      <alignment horizontal="left" vertical="center" wrapText="1" readingOrder="1"/>
    </xf>
    <xf numFmtId="9" fontId="31" fillId="0" borderId="58" xfId="0" applyNumberFormat="1" applyFont="1" applyBorder="1" applyAlignment="1">
      <alignment horizontal="center" vertical="center" wrapText="1" readingOrder="1"/>
    </xf>
    <xf numFmtId="0" fontId="31" fillId="13" borderId="58" xfId="0" applyFont="1" applyFill="1" applyBorder="1" applyAlignment="1">
      <alignment horizontal="center" vertical="center" wrapText="1" readingOrder="1"/>
    </xf>
    <xf numFmtId="0" fontId="31" fillId="14" borderId="58" xfId="0" applyFont="1" applyFill="1" applyBorder="1" applyAlignment="1">
      <alignment horizontal="center" vertical="center" wrapText="1" readingOrder="1"/>
    </xf>
    <xf numFmtId="0" fontId="32" fillId="4" borderId="58" xfId="0" applyFont="1" applyFill="1" applyBorder="1" applyAlignment="1">
      <alignment horizontal="center" vertical="center" wrapText="1" readingOrder="1"/>
    </xf>
    <xf numFmtId="0" fontId="37" fillId="0" borderId="57" xfId="0" applyFont="1" applyBorder="1" applyAlignment="1">
      <alignment horizontal="center" vertical="center" wrapText="1" readingOrder="1"/>
    </xf>
    <xf numFmtId="0" fontId="37" fillId="0" borderId="57" xfId="0" applyFont="1" applyBorder="1" applyAlignment="1">
      <alignment horizontal="left" vertical="center" wrapText="1" readingOrder="1"/>
    </xf>
    <xf numFmtId="0" fontId="37" fillId="12" borderId="58" xfId="0" applyFont="1" applyFill="1" applyBorder="1" applyAlignment="1">
      <alignment horizontal="center" vertical="center" wrapText="1" readingOrder="1"/>
    </xf>
    <xf numFmtId="0" fontId="37" fillId="0" borderId="58" xfId="0" applyFont="1" applyBorder="1" applyAlignment="1">
      <alignment horizontal="center" vertical="center" wrapText="1" readingOrder="1"/>
    </xf>
    <xf numFmtId="0" fontId="37" fillId="0" borderId="58" xfId="0" applyFont="1" applyBorder="1" applyAlignment="1">
      <alignment horizontal="left" vertical="center" wrapText="1" readingOrder="1"/>
    </xf>
    <xf numFmtId="0" fontId="37" fillId="13" borderId="58" xfId="0" applyFont="1" applyFill="1" applyBorder="1" applyAlignment="1">
      <alignment horizontal="center" vertical="center" wrapText="1" readingOrder="1"/>
    </xf>
    <xf numFmtId="0" fontId="37" fillId="14" borderId="58" xfId="0" applyFont="1" applyFill="1" applyBorder="1" applyAlignment="1">
      <alignment horizontal="center" vertical="center" wrapText="1" readingOrder="1"/>
    </xf>
    <xf numFmtId="0" fontId="38" fillId="4" borderId="58" xfId="0" applyFont="1" applyFill="1" applyBorder="1" applyAlignment="1">
      <alignment horizontal="center" vertical="center" wrapText="1" readingOrder="1"/>
    </xf>
    <xf numFmtId="0" fontId="36" fillId="0" borderId="0" xfId="0" applyFont="1"/>
    <xf numFmtId="0" fontId="39" fillId="0" borderId="0" xfId="0" applyFont="1" applyAlignment="1">
      <alignment horizontal="left" vertical="center" wrapText="1" readingOrder="1"/>
    </xf>
    <xf numFmtId="0" fontId="40" fillId="0" borderId="0" xfId="0" applyFont="1" applyAlignment="1">
      <alignment vertical="center"/>
    </xf>
    <xf numFmtId="0" fontId="14" fillId="0" borderId="0" xfId="0" applyFont="1"/>
    <xf numFmtId="0" fontId="41" fillId="0" borderId="0" xfId="0" applyFont="1"/>
    <xf numFmtId="0" fontId="42" fillId="0" borderId="0" xfId="0" applyFont="1"/>
    <xf numFmtId="0" fontId="43" fillId="0" borderId="0" xfId="0" applyFont="1"/>
    <xf numFmtId="0" fontId="47" fillId="15" borderId="63" xfId="0" applyFont="1" applyFill="1" applyBorder="1" applyAlignment="1">
      <alignment horizontal="center" vertical="center" wrapText="1" readingOrder="1"/>
    </xf>
    <xf numFmtId="0" fontId="47" fillId="15" borderId="64" xfId="0" applyFont="1" applyFill="1" applyBorder="1" applyAlignment="1">
      <alignment horizontal="center" vertical="center" wrapText="1" readingOrder="1"/>
    </xf>
    <xf numFmtId="9" fontId="47" fillId="3" borderId="65" xfId="0" applyNumberFormat="1" applyFont="1" applyFill="1" applyBorder="1" applyAlignment="1">
      <alignment horizontal="center" vertical="center" wrapText="1" readingOrder="1"/>
    </xf>
    <xf numFmtId="0" fontId="47" fillId="3" borderId="68" xfId="0" applyFont="1" applyFill="1" applyBorder="1" applyAlignment="1">
      <alignment horizontal="center" vertical="center" wrapText="1" readingOrder="1"/>
    </xf>
    <xf numFmtId="0" fontId="48" fillId="3" borderId="68" xfId="0" applyFont="1" applyFill="1" applyBorder="1" applyAlignment="1">
      <alignment horizontal="left" vertical="center" wrapText="1" readingOrder="1"/>
    </xf>
    <xf numFmtId="9" fontId="47" fillId="3" borderId="69" xfId="0" applyNumberFormat="1" applyFont="1" applyFill="1" applyBorder="1" applyAlignment="1">
      <alignment horizontal="center" vertical="center" wrapText="1" readingOrder="1"/>
    </xf>
    <xf numFmtId="0" fontId="48" fillId="3" borderId="69" xfId="0" applyFont="1" applyFill="1" applyBorder="1" applyAlignment="1">
      <alignment horizontal="center" vertical="center" wrapText="1" readingOrder="1"/>
    </xf>
    <xf numFmtId="0" fontId="47" fillId="3" borderId="76" xfId="0" applyFont="1" applyFill="1" applyBorder="1" applyAlignment="1">
      <alignment horizontal="center" vertical="center" wrapText="1" readingOrder="1"/>
    </xf>
    <xf numFmtId="0" fontId="48" fillId="3" borderId="76" xfId="0" applyFont="1" applyFill="1" applyBorder="1" applyAlignment="1">
      <alignment horizontal="left" vertical="center" wrapText="1" readingOrder="1"/>
    </xf>
    <xf numFmtId="0" fontId="48" fillId="3" borderId="77" xfId="0" applyFont="1" applyFill="1" applyBorder="1" applyAlignment="1">
      <alignment horizontal="center" vertical="center" wrapText="1" readingOrder="1"/>
    </xf>
    <xf numFmtId="0" fontId="44" fillId="0" borderId="0" xfId="0" applyFont="1"/>
    <xf numFmtId="0" fontId="50" fillId="0" borderId="58" xfId="0" applyFont="1" applyBorder="1" applyAlignment="1">
      <alignment horizontal="left" vertical="center" wrapText="1" readingOrder="1"/>
    </xf>
    <xf numFmtId="0" fontId="55" fillId="17" borderId="78" xfId="0" applyFont="1" applyFill="1" applyBorder="1" applyAlignment="1">
      <alignment horizontal="center" vertical="center" wrapText="1"/>
    </xf>
    <xf numFmtId="0" fontId="0" fillId="0" borderId="0" xfId="0" applyAlignment="1">
      <alignment wrapText="1"/>
    </xf>
    <xf numFmtId="0" fontId="56" fillId="18" borderId="78" xfId="0" applyFont="1" applyFill="1" applyBorder="1" applyAlignment="1">
      <alignment horizontal="center" vertical="center"/>
    </xf>
    <xf numFmtId="0" fontId="56" fillId="0" borderId="78" xfId="0" applyFont="1" applyBorder="1" applyAlignment="1">
      <alignment horizontal="center" vertical="center"/>
    </xf>
    <xf numFmtId="0" fontId="56" fillId="0" borderId="78" xfId="0" applyFont="1" applyBorder="1" applyAlignment="1">
      <alignment horizontal="left" vertical="center"/>
    </xf>
    <xf numFmtId="0" fontId="5" fillId="0" borderId="40" xfId="1" applyAlignment="1">
      <alignment vertical="center"/>
    </xf>
    <xf numFmtId="0" fontId="58" fillId="22" borderId="80" xfId="1" applyFont="1" applyFill="1" applyBorder="1" applyAlignment="1">
      <alignment horizontal="center" vertical="center"/>
    </xf>
    <xf numFmtId="0" fontId="61" fillId="0" borderId="80" xfId="1" applyFont="1" applyBorder="1" applyAlignment="1">
      <alignment horizontal="left" vertical="center" wrapText="1"/>
    </xf>
    <xf numFmtId="0" fontId="66" fillId="0" borderId="78" xfId="1" applyFont="1" applyBorder="1" applyAlignment="1">
      <alignment vertical="center" wrapText="1"/>
    </xf>
    <xf numFmtId="0" fontId="66" fillId="0" borderId="78" xfId="1" applyFont="1" applyBorder="1" applyAlignment="1">
      <alignment horizontal="center" vertical="center" wrapText="1"/>
    </xf>
    <xf numFmtId="0" fontId="66" fillId="0" borderId="40" xfId="1" applyFont="1" applyAlignment="1">
      <alignment vertical="center"/>
    </xf>
    <xf numFmtId="0" fontId="66" fillId="0" borderId="78" xfId="1" applyFont="1" applyBorder="1" applyAlignment="1" applyProtection="1">
      <alignment horizontal="center" vertical="center"/>
      <protection locked="0"/>
    </xf>
    <xf numFmtId="0" fontId="66" fillId="0" borderId="78" xfId="1" applyFont="1" applyBorder="1" applyAlignment="1" applyProtection="1">
      <alignment horizontal="center" vertical="center" wrapText="1"/>
      <protection locked="0"/>
    </xf>
    <xf numFmtId="0" fontId="66" fillId="0" borderId="78" xfId="1" applyFont="1" applyBorder="1" applyAlignment="1">
      <alignment vertical="center"/>
    </xf>
    <xf numFmtId="0" fontId="66" fillId="0" borderId="40" xfId="1" applyFont="1" applyAlignment="1">
      <alignment horizontal="center" vertical="center"/>
    </xf>
    <xf numFmtId="0" fontId="54" fillId="0" borderId="40" xfId="1" applyFont="1" applyAlignment="1">
      <alignment horizontal="left" vertical="center"/>
    </xf>
    <xf numFmtId="0" fontId="5" fillId="0" borderId="40" xfId="1"/>
    <xf numFmtId="0" fontId="5" fillId="16" borderId="102" xfId="1" applyFill="1" applyBorder="1" applyAlignment="1">
      <alignment horizontal="center" vertical="center"/>
    </xf>
    <xf numFmtId="0" fontId="5" fillId="16" borderId="103" xfId="1" applyFill="1" applyBorder="1" applyAlignment="1">
      <alignment horizontal="center" vertical="center"/>
    </xf>
    <xf numFmtId="0" fontId="5" fillId="28" borderId="103" xfId="1" applyFill="1" applyBorder="1" applyAlignment="1">
      <alignment horizontal="center" vertical="center"/>
    </xf>
    <xf numFmtId="0" fontId="5" fillId="28" borderId="104" xfId="1" applyFill="1" applyBorder="1" applyAlignment="1">
      <alignment horizontal="center" vertical="center"/>
    </xf>
    <xf numFmtId="0" fontId="5" fillId="29" borderId="105" xfId="1" applyFill="1" applyBorder="1" applyAlignment="1">
      <alignment horizontal="center" vertical="center"/>
    </xf>
    <xf numFmtId="0" fontId="5" fillId="16" borderId="68" xfId="1" applyFill="1" applyBorder="1" applyAlignment="1">
      <alignment horizontal="center" vertical="center"/>
    </xf>
    <xf numFmtId="0" fontId="5" fillId="28" borderId="68" xfId="1" applyFill="1" applyBorder="1" applyAlignment="1">
      <alignment horizontal="center" vertical="center"/>
    </xf>
    <xf numFmtId="0" fontId="5" fillId="28" borderId="69" xfId="1" applyFill="1" applyBorder="1" applyAlignment="1">
      <alignment horizontal="center" vertical="center"/>
    </xf>
    <xf numFmtId="0" fontId="5" fillId="30" borderId="105" xfId="1" applyFill="1" applyBorder="1" applyAlignment="1">
      <alignment horizontal="center" vertical="center"/>
    </xf>
    <xf numFmtId="0" fontId="5" fillId="29" borderId="68" xfId="1" applyFill="1" applyBorder="1" applyAlignment="1">
      <alignment horizontal="center" vertical="center"/>
    </xf>
    <xf numFmtId="0" fontId="69" fillId="16" borderId="68" xfId="1" applyFont="1" applyFill="1" applyBorder="1" applyAlignment="1">
      <alignment horizontal="center" vertical="center"/>
    </xf>
    <xf numFmtId="0" fontId="70" fillId="30" borderId="68" xfId="1" applyFont="1" applyFill="1" applyBorder="1" applyAlignment="1">
      <alignment horizontal="center" vertical="center"/>
    </xf>
    <xf numFmtId="0" fontId="70" fillId="30" borderId="106" xfId="1" applyFont="1" applyFill="1" applyBorder="1" applyAlignment="1">
      <alignment horizontal="center" vertical="center"/>
    </xf>
    <xf numFmtId="0" fontId="5" fillId="30" borderId="76" xfId="1" applyFill="1" applyBorder="1" applyAlignment="1">
      <alignment horizontal="center" vertical="center"/>
    </xf>
    <xf numFmtId="0" fontId="5" fillId="29" borderId="76" xfId="1" applyFill="1" applyBorder="1" applyAlignment="1">
      <alignment horizontal="center" vertical="center"/>
    </xf>
    <xf numFmtId="0" fontId="5" fillId="16" borderId="76" xfId="1" applyFill="1" applyBorder="1" applyAlignment="1">
      <alignment horizontal="center" vertical="center"/>
    </xf>
    <xf numFmtId="0" fontId="5" fillId="28" borderId="77" xfId="1" applyFill="1" applyBorder="1" applyAlignment="1">
      <alignment horizontal="center" vertical="center"/>
    </xf>
    <xf numFmtId="0" fontId="55" fillId="17" borderId="78" xfId="1" applyFont="1" applyFill="1" applyBorder="1" applyAlignment="1">
      <alignment horizontal="center" vertical="center" wrapText="1"/>
    </xf>
    <xf numFmtId="0" fontId="56" fillId="0" borderId="40" xfId="1" applyFont="1" applyAlignment="1">
      <alignment vertical="center" wrapText="1"/>
    </xf>
    <xf numFmtId="0" fontId="56" fillId="0" borderId="78" xfId="1" applyFont="1" applyBorder="1" applyAlignment="1">
      <alignment vertical="center" wrapText="1"/>
    </xf>
    <xf numFmtId="0" fontId="56" fillId="0" borderId="78" xfId="1" applyFont="1" applyBorder="1" applyAlignment="1">
      <alignment horizontal="center" vertical="center" wrapText="1"/>
    </xf>
    <xf numFmtId="0" fontId="56" fillId="18" borderId="78" xfId="1" applyFont="1" applyFill="1" applyBorder="1" applyAlignment="1">
      <alignment horizontal="center" vertical="center" wrapText="1"/>
    </xf>
    <xf numFmtId="0" fontId="56" fillId="31" borderId="78" xfId="1" applyFont="1" applyFill="1" applyBorder="1" applyAlignment="1">
      <alignment horizontal="center" vertical="center" wrapText="1"/>
    </xf>
    <xf numFmtId="0" fontId="72" fillId="0" borderId="78" xfId="1" applyFont="1" applyBorder="1" applyAlignment="1">
      <alignment horizontal="center" vertical="center" wrapText="1"/>
    </xf>
    <xf numFmtId="0" fontId="56" fillId="19" borderId="78" xfId="1" applyFont="1" applyFill="1" applyBorder="1" applyAlignment="1">
      <alignment horizontal="center" vertical="center" wrapText="1"/>
    </xf>
    <xf numFmtId="0" fontId="55" fillId="0" borderId="78" xfId="1" applyFont="1" applyBorder="1" applyAlignment="1">
      <alignment horizontal="center" vertical="center" wrapText="1"/>
    </xf>
    <xf numFmtId="0" fontId="56" fillId="28" borderId="40" xfId="1" applyFont="1" applyFill="1" applyAlignment="1">
      <alignment vertical="center" wrapText="1"/>
    </xf>
    <xf numFmtId="0" fontId="56" fillId="22" borderId="40" xfId="1" applyFont="1" applyFill="1" applyAlignment="1">
      <alignment vertical="center" wrapText="1"/>
    </xf>
    <xf numFmtId="0" fontId="56" fillId="25" borderId="40" xfId="1" applyFont="1" applyFill="1" applyAlignment="1">
      <alignment vertical="center" wrapText="1"/>
    </xf>
    <xf numFmtId="0" fontId="56" fillId="32" borderId="40" xfId="1" applyFont="1" applyFill="1" applyAlignment="1">
      <alignment vertical="center" wrapText="1"/>
    </xf>
    <xf numFmtId="0" fontId="14" fillId="3" borderId="40" xfId="0" applyFont="1" applyFill="1" applyBorder="1"/>
    <xf numFmtId="0" fontId="13" fillId="3" borderId="40" xfId="0" applyFont="1" applyFill="1" applyBorder="1"/>
    <xf numFmtId="0" fontId="0" fillId="0" borderId="78" xfId="0" applyBorder="1"/>
    <xf numFmtId="0" fontId="76" fillId="23" borderId="78" xfId="0" applyFont="1" applyFill="1" applyBorder="1" applyAlignment="1">
      <alignment horizontal="center" vertical="center" wrapText="1"/>
    </xf>
    <xf numFmtId="0" fontId="76" fillId="23" borderId="78" xfId="0" applyFont="1" applyFill="1" applyBorder="1" applyAlignment="1">
      <alignment horizontal="center" vertical="center"/>
    </xf>
    <xf numFmtId="0" fontId="79" fillId="0" borderId="68" xfId="3" applyFont="1" applyBorder="1" applyAlignment="1">
      <alignment horizontal="center"/>
    </xf>
    <xf numFmtId="0" fontId="78" fillId="0" borderId="40" xfId="3"/>
    <xf numFmtId="0" fontId="80" fillId="34" borderId="68" xfId="3" applyFont="1" applyFill="1" applyBorder="1" applyAlignment="1">
      <alignment wrapText="1"/>
    </xf>
    <xf numFmtId="0" fontId="80" fillId="0" borderId="68" xfId="3" applyFont="1" applyBorder="1" applyAlignment="1">
      <alignment wrapText="1"/>
    </xf>
    <xf numFmtId="0" fontId="80" fillId="35" borderId="68" xfId="3" applyFont="1" applyFill="1" applyBorder="1" applyAlignment="1">
      <alignment wrapText="1"/>
    </xf>
    <xf numFmtId="0" fontId="80" fillId="34" borderId="68" xfId="3" applyFont="1" applyFill="1" applyBorder="1"/>
    <xf numFmtId="0" fontId="80" fillId="0" borderId="68" xfId="3" applyFont="1" applyBorder="1"/>
    <xf numFmtId="0" fontId="81" fillId="0" borderId="68" xfId="3" applyFont="1" applyBorder="1" applyAlignment="1">
      <alignment wrapText="1"/>
    </xf>
    <xf numFmtId="0" fontId="78" fillId="0" borderId="68" xfId="3" applyBorder="1"/>
    <xf numFmtId="0" fontId="78" fillId="0" borderId="68" xfId="3" applyBorder="1" applyAlignment="1">
      <alignment wrapText="1"/>
    </xf>
    <xf numFmtId="0" fontId="81" fillId="34" borderId="68" xfId="3" applyFont="1" applyFill="1" applyBorder="1" applyAlignment="1">
      <alignment wrapText="1"/>
    </xf>
    <xf numFmtId="0" fontId="13" fillId="3" borderId="19" xfId="0" applyFont="1" applyFill="1" applyBorder="1"/>
    <xf numFmtId="0" fontId="11" fillId="3" borderId="40" xfId="0" applyFont="1" applyFill="1" applyBorder="1" applyAlignment="1">
      <alignment horizontal="left" vertical="top" wrapText="1"/>
    </xf>
    <xf numFmtId="0" fontId="16" fillId="3" borderId="40" xfId="0" applyFont="1" applyFill="1" applyBorder="1" applyAlignment="1">
      <alignment horizontal="left" vertical="center" wrapText="1"/>
    </xf>
    <xf numFmtId="0" fontId="13" fillId="3" borderId="40" xfId="0" applyFont="1" applyFill="1" applyBorder="1" applyAlignment="1">
      <alignment horizontal="left" vertical="center" wrapText="1"/>
    </xf>
    <xf numFmtId="0" fontId="17" fillId="3" borderId="40" xfId="0" applyFont="1" applyFill="1" applyBorder="1" applyAlignment="1">
      <alignment horizontal="left" vertical="center" wrapText="1"/>
    </xf>
    <xf numFmtId="0" fontId="18" fillId="3" borderId="40" xfId="0" applyFont="1" applyFill="1" applyBorder="1" applyAlignment="1">
      <alignment horizontal="left" vertical="top" wrapText="1"/>
    </xf>
    <xf numFmtId="0" fontId="14" fillId="3" borderId="40" xfId="0" applyFont="1" applyFill="1" applyBorder="1" applyAlignment="1">
      <alignment wrapText="1"/>
    </xf>
    <xf numFmtId="0" fontId="8" fillId="3" borderId="40" xfId="0" applyFont="1" applyFill="1" applyBorder="1"/>
    <xf numFmtId="0" fontId="11" fillId="3" borderId="40" xfId="0" applyFont="1" applyFill="1" applyBorder="1" applyAlignment="1">
      <alignment horizontal="center" vertical="center"/>
    </xf>
    <xf numFmtId="0" fontId="8" fillId="3" borderId="40" xfId="0" applyFont="1" applyFill="1" applyBorder="1" applyAlignment="1">
      <alignment vertical="center"/>
    </xf>
    <xf numFmtId="0" fontId="23" fillId="3" borderId="40" xfId="0" applyFont="1" applyFill="1" applyBorder="1" applyAlignment="1">
      <alignment vertical="center"/>
    </xf>
    <xf numFmtId="0" fontId="26" fillId="8" borderId="47" xfId="0" applyFont="1" applyFill="1" applyBorder="1" applyAlignment="1">
      <alignment horizontal="center" vertical="center" wrapText="1" readingOrder="1"/>
    </xf>
    <xf numFmtId="0" fontId="26" fillId="8" borderId="40" xfId="0" applyFont="1" applyFill="1" applyBorder="1" applyAlignment="1">
      <alignment horizontal="center" vertical="center" wrapText="1" readingOrder="1"/>
    </xf>
    <xf numFmtId="0" fontId="26" fillId="8" borderId="44" xfId="0" applyFont="1" applyFill="1" applyBorder="1" applyAlignment="1">
      <alignment horizontal="center" vertical="center" wrapText="1" readingOrder="1"/>
    </xf>
    <xf numFmtId="0" fontId="26" fillId="9" borderId="47" xfId="0" applyFont="1" applyFill="1" applyBorder="1" applyAlignment="1">
      <alignment horizontal="center" wrapText="1" readingOrder="1"/>
    </xf>
    <xf numFmtId="0" fontId="26" fillId="9" borderId="40" xfId="0" applyFont="1" applyFill="1" applyBorder="1" applyAlignment="1">
      <alignment horizontal="center" wrapText="1" readingOrder="1"/>
    </xf>
    <xf numFmtId="0" fontId="26" fillId="9" borderId="44" xfId="0" applyFont="1" applyFill="1" applyBorder="1" applyAlignment="1">
      <alignment horizontal="center" wrapText="1" readingOrder="1"/>
    </xf>
    <xf numFmtId="0" fontId="26" fillId="8" borderId="48" xfId="0" applyFont="1" applyFill="1" applyBorder="1" applyAlignment="1">
      <alignment horizontal="center" vertical="center" wrapText="1" readingOrder="1"/>
    </xf>
    <xf numFmtId="0" fontId="26" fillId="8" borderId="50" xfId="0" applyFont="1" applyFill="1" applyBorder="1" applyAlignment="1">
      <alignment horizontal="center" vertical="center" wrapText="1" readingOrder="1"/>
    </xf>
    <xf numFmtId="0" fontId="26" fillId="8" borderId="49" xfId="0" applyFont="1" applyFill="1" applyBorder="1" applyAlignment="1">
      <alignment horizontal="center" vertical="center" wrapText="1" readingOrder="1"/>
    </xf>
    <xf numFmtId="0" fontId="26" fillId="9" borderId="48" xfId="0" applyFont="1" applyFill="1" applyBorder="1" applyAlignment="1">
      <alignment horizontal="center" wrapText="1" readingOrder="1"/>
    </xf>
    <xf numFmtId="0" fontId="26" fillId="9" borderId="50" xfId="0" applyFont="1" applyFill="1" applyBorder="1" applyAlignment="1">
      <alignment horizontal="center" wrapText="1" readingOrder="1"/>
    </xf>
    <xf numFmtId="0" fontId="26" fillId="9" borderId="49" xfId="0" applyFont="1" applyFill="1" applyBorder="1" applyAlignment="1">
      <alignment horizontal="center" wrapText="1" readingOrder="1"/>
    </xf>
    <xf numFmtId="0" fontId="26" fillId="5" borderId="47" xfId="0" applyFont="1" applyFill="1" applyBorder="1" applyAlignment="1">
      <alignment horizontal="center" wrapText="1" readingOrder="1"/>
    </xf>
    <xf numFmtId="0" fontId="26" fillId="5" borderId="40" xfId="0" applyFont="1" applyFill="1" applyBorder="1" applyAlignment="1">
      <alignment horizontal="center" wrapText="1" readingOrder="1"/>
    </xf>
    <xf numFmtId="0" fontId="26" fillId="5" borderId="44" xfId="0" applyFont="1" applyFill="1" applyBorder="1" applyAlignment="1">
      <alignment horizontal="center" wrapText="1" readingOrder="1"/>
    </xf>
    <xf numFmtId="0" fontId="26" fillId="5" borderId="48" xfId="0" applyFont="1" applyFill="1" applyBorder="1" applyAlignment="1">
      <alignment horizontal="center" wrapText="1" readingOrder="1"/>
    </xf>
    <xf numFmtId="0" fontId="26" fillId="5" borderId="50" xfId="0" applyFont="1" applyFill="1" applyBorder="1" applyAlignment="1">
      <alignment horizontal="center" wrapText="1" readingOrder="1"/>
    </xf>
    <xf numFmtId="0" fontId="26" fillId="5" borderId="49" xfId="0" applyFont="1" applyFill="1" applyBorder="1" applyAlignment="1">
      <alignment horizontal="center" wrapText="1" readingOrder="1"/>
    </xf>
    <xf numFmtId="0" fontId="26" fillId="10" borderId="47" xfId="0" applyFont="1" applyFill="1" applyBorder="1" applyAlignment="1">
      <alignment horizontal="center" wrapText="1" readingOrder="1"/>
    </xf>
    <xf numFmtId="0" fontId="26" fillId="10" borderId="40" xfId="0" applyFont="1" applyFill="1" applyBorder="1" applyAlignment="1">
      <alignment horizontal="center" wrapText="1" readingOrder="1"/>
    </xf>
    <xf numFmtId="0" fontId="26" fillId="10" borderId="44" xfId="0" applyFont="1" applyFill="1" applyBorder="1" applyAlignment="1">
      <alignment horizontal="center" wrapText="1" readingOrder="1"/>
    </xf>
    <xf numFmtId="0" fontId="26" fillId="10" borderId="48" xfId="0" applyFont="1" applyFill="1" applyBorder="1" applyAlignment="1">
      <alignment horizontal="center" wrapText="1" readingOrder="1"/>
    </xf>
    <xf numFmtId="0" fontId="26" fillId="10" borderId="50" xfId="0" applyFont="1" applyFill="1" applyBorder="1" applyAlignment="1">
      <alignment horizontal="center" wrapText="1" readingOrder="1"/>
    </xf>
    <xf numFmtId="0" fontId="26" fillId="10" borderId="49" xfId="0" applyFont="1" applyFill="1" applyBorder="1" applyAlignment="1">
      <alignment horizontal="center" wrapText="1" readingOrder="1"/>
    </xf>
    <xf numFmtId="0" fontId="30" fillId="11" borderId="40" xfId="0" applyFont="1" applyFill="1" applyBorder="1" applyAlignment="1">
      <alignment horizontal="center" vertical="center" wrapText="1" readingOrder="1"/>
    </xf>
    <xf numFmtId="0" fontId="31" fillId="10" borderId="57" xfId="0" applyFont="1" applyFill="1" applyBorder="1" applyAlignment="1">
      <alignment horizontal="center" vertical="center" wrapText="1" readingOrder="1"/>
    </xf>
    <xf numFmtId="0" fontId="11" fillId="3" borderId="40" xfId="0" applyFont="1" applyFill="1" applyBorder="1" applyAlignment="1">
      <alignment horizontal="left" vertical="center"/>
    </xf>
    <xf numFmtId="0" fontId="36" fillId="3" borderId="40" xfId="0" applyFont="1" applyFill="1" applyBorder="1"/>
    <xf numFmtId="0" fontId="34" fillId="3" borderId="40" xfId="0" applyFont="1" applyFill="1" applyBorder="1" applyAlignment="1">
      <alignment horizontal="center" vertical="center" wrapText="1"/>
    </xf>
    <xf numFmtId="0" fontId="35" fillId="11" borderId="40" xfId="0" applyFont="1" applyFill="1" applyBorder="1" applyAlignment="1">
      <alignment horizontal="center" vertical="center" wrapText="1" readingOrder="1"/>
    </xf>
    <xf numFmtId="0" fontId="37" fillId="10" borderId="57" xfId="0" applyFont="1" applyFill="1" applyBorder="1" applyAlignment="1">
      <alignment horizontal="center" vertical="center" wrapText="1" readingOrder="1"/>
    </xf>
    <xf numFmtId="0" fontId="39" fillId="3" borderId="40" xfId="0" applyFont="1" applyFill="1" applyBorder="1" applyAlignment="1">
      <alignment horizontal="left" vertical="center" wrapText="1" readingOrder="1"/>
    </xf>
    <xf numFmtId="0" fontId="44" fillId="3" borderId="40" xfId="0" applyFont="1" applyFill="1" applyBorder="1"/>
    <xf numFmtId="0" fontId="17" fillId="3" borderId="40" xfId="0" applyFont="1" applyFill="1" applyBorder="1"/>
    <xf numFmtId="0" fontId="46" fillId="3" borderId="40" xfId="0" applyFont="1" applyFill="1" applyBorder="1"/>
    <xf numFmtId="0" fontId="47" fillId="3" borderId="70" xfId="0" applyFont="1" applyFill="1" applyBorder="1" applyAlignment="1">
      <alignment horizontal="center" vertical="center" wrapText="1" readingOrder="1"/>
    </xf>
    <xf numFmtId="0" fontId="48" fillId="3" borderId="70" xfId="0" applyFont="1" applyFill="1" applyBorder="1" applyAlignment="1">
      <alignment horizontal="left" vertical="center" wrapText="1" readingOrder="1"/>
    </xf>
    <xf numFmtId="0" fontId="8" fillId="3" borderId="40" xfId="0" applyFont="1" applyFill="1" applyBorder="1" applyAlignment="1">
      <alignment horizontal="center" vertical="center"/>
    </xf>
    <xf numFmtId="0" fontId="8" fillId="3" borderId="40" xfId="0" applyFont="1" applyFill="1" applyBorder="1" applyAlignment="1">
      <alignment horizontal="left" vertical="center"/>
    </xf>
    <xf numFmtId="0" fontId="8" fillId="3" borderId="40" xfId="0" applyFont="1" applyFill="1" applyBorder="1" applyAlignment="1">
      <alignment horizontal="center"/>
    </xf>
    <xf numFmtId="0" fontId="56" fillId="0" borderId="78" xfId="0" applyFont="1" applyBorder="1" applyAlignment="1">
      <alignment horizontal="left" vertical="center" wrapText="1"/>
    </xf>
    <xf numFmtId="0" fontId="83" fillId="0" borderId="0" xfId="0" applyFont="1"/>
    <xf numFmtId="0" fontId="79" fillId="0" borderId="0" xfId="0" applyFont="1"/>
    <xf numFmtId="0" fontId="84" fillId="0" borderId="109" xfId="0" applyFont="1" applyBorder="1" applyAlignment="1">
      <alignment horizontal="left" vertical="center" wrapText="1"/>
    </xf>
    <xf numFmtId="0" fontId="84" fillId="0" borderId="109" xfId="0" applyFont="1" applyBorder="1" applyAlignment="1">
      <alignment horizontal="justify" vertical="center" wrapText="1"/>
    </xf>
    <xf numFmtId="0" fontId="84" fillId="0" borderId="114" xfId="0" applyFont="1" applyBorder="1" applyAlignment="1">
      <alignment horizontal="left" vertical="center" wrapText="1"/>
    </xf>
    <xf numFmtId="0" fontId="84" fillId="0" borderId="64" xfId="0" applyFont="1" applyBorder="1" applyAlignment="1">
      <alignment horizontal="center" vertical="center" wrapText="1"/>
    </xf>
    <xf numFmtId="0" fontId="84" fillId="0" borderId="104" xfId="0" applyFont="1" applyBorder="1" applyAlignment="1">
      <alignment horizontal="center" vertical="center" wrapText="1"/>
    </xf>
    <xf numFmtId="0" fontId="85" fillId="37" borderId="112" xfId="0" applyFont="1" applyFill="1" applyBorder="1" applyAlignment="1">
      <alignment horizontal="center" vertical="center" wrapText="1"/>
    </xf>
    <xf numFmtId="0" fontId="86" fillId="37" borderId="110" xfId="0" applyFont="1" applyFill="1" applyBorder="1" applyAlignment="1">
      <alignment horizontal="center" vertical="center" wrapText="1"/>
    </xf>
    <xf numFmtId="0" fontId="87" fillId="37" borderId="110" xfId="0" applyFont="1" applyFill="1" applyBorder="1" applyAlignment="1">
      <alignment horizontal="center" vertical="center" wrapText="1"/>
    </xf>
    <xf numFmtId="0" fontId="7" fillId="35" borderId="68" xfId="3" applyFont="1" applyFill="1" applyBorder="1" applyAlignment="1">
      <alignment wrapText="1"/>
    </xf>
    <xf numFmtId="0" fontId="14" fillId="3" borderId="115" xfId="0" applyFont="1" applyFill="1" applyBorder="1"/>
    <xf numFmtId="0" fontId="14" fillId="3" borderId="116" xfId="0" applyFont="1" applyFill="1" applyBorder="1"/>
    <xf numFmtId="0" fontId="14" fillId="3" borderId="117" xfId="0" applyFont="1" applyFill="1" applyBorder="1"/>
    <xf numFmtId="0" fontId="13" fillId="3" borderId="120" xfId="0" applyFont="1" applyFill="1" applyBorder="1"/>
    <xf numFmtId="0" fontId="13" fillId="3" borderId="121" xfId="0" applyFont="1" applyFill="1" applyBorder="1"/>
    <xf numFmtId="0" fontId="15" fillId="3" borderId="124" xfId="0" applyFont="1" applyFill="1" applyBorder="1" applyAlignment="1">
      <alignment horizontal="left" vertical="top" wrapText="1"/>
    </xf>
    <xf numFmtId="0" fontId="11" fillId="3" borderId="125" xfId="0" applyFont="1" applyFill="1" applyBorder="1" applyAlignment="1">
      <alignment horizontal="left" vertical="top" wrapText="1"/>
    </xf>
    <xf numFmtId="0" fontId="13" fillId="3" borderId="124" xfId="0" applyFont="1" applyFill="1" applyBorder="1"/>
    <xf numFmtId="0" fontId="13" fillId="3" borderId="125" xfId="0" applyFont="1" applyFill="1" applyBorder="1"/>
    <xf numFmtId="0" fontId="61" fillId="0" borderId="80" xfId="1" applyFont="1" applyBorder="1" applyAlignment="1">
      <alignment horizontal="left" vertical="top" wrapText="1"/>
    </xf>
    <xf numFmtId="0" fontId="60" fillId="23" borderId="80" xfId="2" applyFont="1" applyFill="1" applyBorder="1" applyAlignment="1">
      <alignment horizontal="left" vertical="center" wrapText="1" indent="1"/>
    </xf>
    <xf numFmtId="0" fontId="63" fillId="18" borderId="80" xfId="2" applyFont="1" applyFill="1" applyBorder="1" applyAlignment="1">
      <alignment horizontal="left" vertical="center" wrapText="1" indent="1"/>
    </xf>
    <xf numFmtId="0" fontId="63" fillId="24" borderId="80" xfId="2" applyFont="1" applyFill="1" applyBorder="1" applyAlignment="1">
      <alignment horizontal="left" vertical="center" wrapText="1" indent="1"/>
    </xf>
    <xf numFmtId="0" fontId="63" fillId="25" borderId="80" xfId="2" applyFont="1" applyFill="1" applyBorder="1" applyAlignment="1">
      <alignment horizontal="left" vertical="center" wrapText="1" indent="1"/>
    </xf>
    <xf numFmtId="0" fontId="73" fillId="0" borderId="0" xfId="0" applyFont="1"/>
    <xf numFmtId="0" fontId="95" fillId="0" borderId="0" xfId="0" applyFont="1"/>
    <xf numFmtId="0" fontId="95" fillId="0" borderId="0" xfId="0" applyFont="1" applyProtection="1">
      <protection locked="0"/>
    </xf>
    <xf numFmtId="0" fontId="95" fillId="3" borderId="40" xfId="0" applyFont="1" applyFill="1" applyBorder="1"/>
    <xf numFmtId="0" fontId="100" fillId="3" borderId="18" xfId="0" applyFont="1" applyFill="1" applyBorder="1"/>
    <xf numFmtId="0" fontId="100" fillId="3" borderId="19" xfId="0" applyFont="1" applyFill="1" applyBorder="1"/>
    <xf numFmtId="0" fontId="100" fillId="3" borderId="20" xfId="0" applyFont="1" applyFill="1" applyBorder="1"/>
    <xf numFmtId="0" fontId="103" fillId="3" borderId="47" xfId="0" applyFont="1" applyFill="1" applyBorder="1" applyAlignment="1">
      <alignment horizontal="left" vertical="top" wrapText="1"/>
    </xf>
    <xf numFmtId="0" fontId="93" fillId="3" borderId="40" xfId="0" applyFont="1" applyFill="1" applyBorder="1" applyAlignment="1">
      <alignment horizontal="left" vertical="top" wrapText="1"/>
    </xf>
    <xf numFmtId="0" fontId="93" fillId="3" borderId="44" xfId="0" applyFont="1" applyFill="1" applyBorder="1" applyAlignment="1">
      <alignment horizontal="left" vertical="top" wrapText="1"/>
    </xf>
    <xf numFmtId="0" fontId="100" fillId="3" borderId="47" xfId="0" applyFont="1" applyFill="1" applyBorder="1"/>
    <xf numFmtId="0" fontId="100" fillId="3" borderId="40" xfId="0" applyFont="1" applyFill="1" applyBorder="1"/>
    <xf numFmtId="0" fontId="104" fillId="3" borderId="40" xfId="0" applyFont="1" applyFill="1" applyBorder="1" applyAlignment="1">
      <alignment horizontal="left" vertical="center" wrapText="1"/>
    </xf>
    <xf numFmtId="0" fontId="100" fillId="3" borderId="40" xfId="0" applyFont="1" applyFill="1" applyBorder="1" applyAlignment="1">
      <alignment horizontal="left" vertical="center" wrapText="1"/>
    </xf>
    <xf numFmtId="0" fontId="100" fillId="3" borderId="44" xfId="0" applyFont="1" applyFill="1" applyBorder="1"/>
    <xf numFmtId="0" fontId="105" fillId="3" borderId="40" xfId="0" applyFont="1" applyFill="1" applyBorder="1" applyAlignment="1">
      <alignment horizontal="left" vertical="center" wrapText="1"/>
    </xf>
    <xf numFmtId="0" fontId="99" fillId="3" borderId="40" xfId="0" applyFont="1" applyFill="1" applyBorder="1" applyAlignment="1">
      <alignment horizontal="left" vertical="top" wrapText="1"/>
    </xf>
    <xf numFmtId="0" fontId="95" fillId="3" borderId="40" xfId="0" applyFont="1" applyFill="1" applyBorder="1" applyAlignment="1">
      <alignment wrapText="1"/>
    </xf>
    <xf numFmtId="0" fontId="95" fillId="0" borderId="0" xfId="0" applyFont="1" applyAlignment="1">
      <alignment wrapText="1"/>
    </xf>
    <xf numFmtId="0" fontId="100" fillId="3" borderId="48" xfId="0" applyFont="1" applyFill="1" applyBorder="1"/>
    <xf numFmtId="0" fontId="100" fillId="3" borderId="50" xfId="0" applyFont="1" applyFill="1" applyBorder="1"/>
    <xf numFmtId="0" fontId="100" fillId="3" borderId="49" xfId="0" applyFont="1" applyFill="1" applyBorder="1"/>
    <xf numFmtId="0" fontId="107" fillId="0" borderId="40" xfId="7"/>
    <xf numFmtId="0" fontId="107" fillId="0" borderId="40" xfId="8"/>
    <xf numFmtId="0" fontId="111" fillId="0" borderId="78" xfId="0" applyFont="1" applyBorder="1" applyAlignment="1">
      <alignment vertical="center" wrapText="1"/>
    </xf>
    <xf numFmtId="0" fontId="73" fillId="0" borderId="78" xfId="0" applyFont="1" applyBorder="1" applyAlignment="1">
      <alignment vertical="center" wrapText="1"/>
    </xf>
    <xf numFmtId="0" fontId="73" fillId="0" borderId="78" xfId="0" applyFont="1" applyBorder="1" applyAlignment="1">
      <alignment horizontal="left" vertical="center" wrapText="1" indent="1"/>
    </xf>
    <xf numFmtId="0" fontId="95" fillId="0" borderId="0" xfId="0" applyFont="1" applyAlignment="1" applyProtection="1">
      <alignment wrapText="1"/>
      <protection locked="0"/>
    </xf>
    <xf numFmtId="0" fontId="11" fillId="40" borderId="13" xfId="9" applyFont="1" applyFill="1" applyBorder="1" applyAlignment="1">
      <alignment vertical="center"/>
    </xf>
    <xf numFmtId="0" fontId="8" fillId="3" borderId="40" xfId="9" applyFont="1" applyFill="1"/>
    <xf numFmtId="0" fontId="114" fillId="0" borderId="40" xfId="9"/>
    <xf numFmtId="0" fontId="11" fillId="3" borderId="40" xfId="9" applyFont="1" applyFill="1" applyAlignment="1">
      <alignment horizontal="center" vertical="center"/>
    </xf>
    <xf numFmtId="0" fontId="11" fillId="0" borderId="6" xfId="9" applyFont="1" applyBorder="1" applyAlignment="1">
      <alignment vertical="center" wrapText="1"/>
    </xf>
    <xf numFmtId="9" fontId="8" fillId="0" borderId="6" xfId="9" applyNumberFormat="1" applyFont="1" applyBorder="1" applyAlignment="1">
      <alignment vertical="center" wrapText="1"/>
    </xf>
    <xf numFmtId="9" fontId="8" fillId="0" borderId="6" xfId="9" applyNumberFormat="1" applyFont="1" applyBorder="1" applyAlignment="1" applyProtection="1">
      <alignment vertical="center" wrapText="1"/>
      <protection locked="0"/>
    </xf>
    <xf numFmtId="0" fontId="11" fillId="0" borderId="6" xfId="9" applyFont="1" applyBorder="1" applyAlignment="1">
      <alignment vertical="center"/>
    </xf>
    <xf numFmtId="0" fontId="8" fillId="0" borderId="9" xfId="9" applyFont="1" applyBorder="1" applyAlignment="1">
      <alignment horizontal="center" vertical="center"/>
    </xf>
    <xf numFmtId="0" fontId="8" fillId="0" borderId="9" xfId="9" applyFont="1" applyBorder="1" applyAlignment="1" applyProtection="1">
      <alignment horizontal="center" vertical="center" textRotation="90"/>
      <protection locked="0"/>
    </xf>
    <xf numFmtId="9" fontId="8" fillId="0" borderId="9" xfId="9" applyNumberFormat="1" applyFont="1" applyBorder="1" applyAlignment="1">
      <alignment horizontal="center" vertical="center"/>
    </xf>
    <xf numFmtId="164" fontId="8" fillId="0" borderId="9" xfId="9" applyNumberFormat="1" applyFont="1" applyBorder="1" applyAlignment="1" applyProtection="1">
      <alignment horizontal="center" vertical="center"/>
      <protection locked="0"/>
    </xf>
    <xf numFmtId="0" fontId="11" fillId="0" borderId="9" xfId="9" applyFont="1" applyBorder="1" applyAlignment="1">
      <alignment horizontal="center" vertical="center" textRotation="90" wrapText="1"/>
    </xf>
    <xf numFmtId="9" fontId="8" fillId="0" borderId="6" xfId="9" applyNumberFormat="1" applyFont="1" applyBorder="1" applyAlignment="1">
      <alignment horizontal="center" vertical="center"/>
    </xf>
    <xf numFmtId="0" fontId="11" fillId="0" borderId="9" xfId="9" applyFont="1" applyBorder="1" applyAlignment="1">
      <alignment horizontal="center" vertical="center" textRotation="90"/>
    </xf>
    <xf numFmtId="0" fontId="8" fillId="0" borderId="6" xfId="9" applyFont="1" applyBorder="1" applyAlignment="1" applyProtection="1">
      <alignment horizontal="center" vertical="center" textRotation="90"/>
      <protection locked="0"/>
    </xf>
    <xf numFmtId="0" fontId="114" fillId="0" borderId="40" xfId="9" applyProtection="1">
      <protection locked="0"/>
    </xf>
    <xf numFmtId="0" fontId="114" fillId="0" borderId="40" xfId="9" applyAlignment="1" applyProtection="1">
      <alignment wrapText="1"/>
      <protection locked="0"/>
    </xf>
    <xf numFmtId="0" fontId="114" fillId="0" borderId="40" xfId="9" applyAlignment="1" applyProtection="1">
      <alignment vertical="center"/>
      <protection locked="0"/>
    </xf>
    <xf numFmtId="0" fontId="114" fillId="0" borderId="40" xfId="9" applyAlignment="1" applyProtection="1">
      <alignment horizontal="center"/>
      <protection locked="0"/>
    </xf>
    <xf numFmtId="0" fontId="8" fillId="0" borderId="3" xfId="9" applyFont="1" applyBorder="1" applyAlignment="1" applyProtection="1">
      <alignment horizontal="left" vertical="center" wrapText="1"/>
      <protection locked="0"/>
    </xf>
    <xf numFmtId="0" fontId="7" fillId="0" borderId="5" xfId="9" applyFont="1" applyBorder="1" applyProtection="1">
      <protection locked="0"/>
    </xf>
    <xf numFmtId="0" fontId="7" fillId="0" borderId="5" xfId="9" applyFont="1" applyBorder="1" applyAlignment="1" applyProtection="1">
      <alignment wrapText="1"/>
      <protection locked="0"/>
    </xf>
    <xf numFmtId="0" fontId="8" fillId="0" borderId="40" xfId="9" applyFont="1" applyAlignment="1">
      <alignment horizontal="center" vertical="center"/>
    </xf>
    <xf numFmtId="0" fontId="8" fillId="0" borderId="40" xfId="9" applyFont="1" applyAlignment="1" applyProtection="1">
      <alignment horizontal="center" vertical="center"/>
      <protection locked="0"/>
    </xf>
    <xf numFmtId="0" fontId="8" fillId="0" borderId="40" xfId="9" applyFont="1" applyProtection="1">
      <protection locked="0"/>
    </xf>
    <xf numFmtId="0" fontId="8" fillId="0" borderId="40" xfId="9" applyFont="1" applyAlignment="1" applyProtection="1">
      <alignment horizontal="center"/>
      <protection locked="0"/>
    </xf>
    <xf numFmtId="0" fontId="13" fillId="0" borderId="9" xfId="9" applyFont="1" applyBorder="1" applyAlignment="1" applyProtection="1">
      <alignment horizontal="left" vertical="center" wrapText="1"/>
      <protection locked="0"/>
    </xf>
    <xf numFmtId="0" fontId="8" fillId="0" borderId="40" xfId="9" applyFont="1" applyAlignment="1" applyProtection="1">
      <alignment wrapText="1"/>
      <protection locked="0"/>
    </xf>
    <xf numFmtId="0" fontId="11" fillId="0" borderId="40" xfId="9" applyFont="1" applyAlignment="1">
      <alignment horizontal="left" vertical="center"/>
    </xf>
    <xf numFmtId="0" fontId="11" fillId="0" borderId="40" xfId="9" applyFont="1" applyAlignment="1" applyProtection="1">
      <alignment horizontal="left" vertical="center"/>
      <protection locked="0"/>
    </xf>
    <xf numFmtId="0" fontId="114" fillId="0" borderId="40" xfId="9" applyAlignment="1" applyProtection="1">
      <alignment horizontal="center" vertical="center"/>
      <protection locked="0"/>
    </xf>
    <xf numFmtId="0" fontId="66" fillId="0" borderId="40" xfId="11" applyFont="1" applyAlignment="1">
      <alignment vertical="center" wrapText="1"/>
    </xf>
    <xf numFmtId="0" fontId="67" fillId="18" borderId="85" xfId="11" applyFont="1" applyFill="1" applyBorder="1" applyAlignment="1">
      <alignment horizontal="center" vertical="center" wrapText="1"/>
    </xf>
    <xf numFmtId="0" fontId="67" fillId="0" borderId="84" xfId="11" applyFont="1" applyBorder="1" applyAlignment="1">
      <alignment vertical="center" wrapText="1"/>
    </xf>
    <xf numFmtId="0" fontId="66" fillId="26" borderId="86" xfId="11" applyFont="1" applyFill="1" applyBorder="1" applyAlignment="1">
      <alignment horizontal="center" vertical="center" wrapText="1"/>
    </xf>
    <xf numFmtId="0" fontId="66" fillId="26" borderId="84" xfId="11" applyFont="1" applyFill="1" applyBorder="1" applyAlignment="1">
      <alignment vertical="center" wrapText="1"/>
    </xf>
    <xf numFmtId="0" fontId="66" fillId="26" borderId="84" xfId="11" applyFont="1" applyFill="1" applyBorder="1" applyAlignment="1">
      <alignment horizontal="center" vertical="center" wrapText="1"/>
    </xf>
    <xf numFmtId="0" fontId="67" fillId="0" borderId="98" xfId="11" applyFont="1" applyBorder="1" applyAlignment="1">
      <alignment vertical="center" wrapText="1"/>
    </xf>
    <xf numFmtId="0" fontId="12" fillId="40" borderId="6" xfId="9" applyFont="1" applyFill="1" applyBorder="1" applyAlignment="1">
      <alignment vertical="center" textRotation="90"/>
    </xf>
    <xf numFmtId="49" fontId="12" fillId="40" borderId="6" xfId="9" applyNumberFormat="1" applyFont="1" applyFill="1" applyBorder="1" applyAlignment="1">
      <alignment vertical="center"/>
    </xf>
    <xf numFmtId="0" fontId="11" fillId="40" borderId="6" xfId="9" applyFont="1" applyFill="1" applyBorder="1" applyAlignment="1">
      <alignment vertical="center"/>
    </xf>
    <xf numFmtId="0" fontId="92" fillId="40" borderId="1" xfId="9" applyFont="1" applyFill="1" applyBorder="1" applyAlignment="1">
      <alignment vertical="center" wrapText="1"/>
    </xf>
    <xf numFmtId="0" fontId="92" fillId="40" borderId="132" xfId="9" applyFont="1" applyFill="1" applyBorder="1" applyAlignment="1">
      <alignment vertical="center" wrapText="1"/>
    </xf>
    <xf numFmtId="0" fontId="11" fillId="40" borderId="10" xfId="9" applyFont="1" applyFill="1" applyBorder="1" applyAlignment="1">
      <alignment vertical="center" wrapText="1"/>
    </xf>
    <xf numFmtId="0" fontId="11" fillId="40" borderId="10" xfId="9" applyFont="1" applyFill="1" applyBorder="1" applyAlignment="1">
      <alignment vertical="center"/>
    </xf>
    <xf numFmtId="0" fontId="11" fillId="40" borderId="6" xfId="9" applyFont="1" applyFill="1" applyBorder="1" applyAlignment="1">
      <alignment vertical="center" wrapText="1"/>
    </xf>
    <xf numFmtId="0" fontId="11" fillId="40" borderId="7" xfId="9" applyFont="1" applyFill="1" applyBorder="1" applyAlignment="1">
      <alignment vertical="center"/>
    </xf>
    <xf numFmtId="0" fontId="11" fillId="40" borderId="7" xfId="9" applyFont="1" applyFill="1" applyBorder="1" applyAlignment="1">
      <alignment vertical="center" wrapText="1"/>
    </xf>
    <xf numFmtId="0" fontId="11" fillId="40" borderId="6" xfId="9" applyFont="1" applyFill="1" applyBorder="1" applyAlignment="1">
      <alignment vertical="center" textRotation="90" wrapText="1"/>
    </xf>
    <xf numFmtId="0" fontId="115" fillId="39" borderId="130" xfId="10" applyFont="1" applyFill="1" applyBorder="1" applyAlignment="1">
      <alignment horizontal="left" vertical="center" wrapText="1"/>
    </xf>
    <xf numFmtId="0" fontId="115" fillId="39" borderId="129" xfId="10" applyFont="1" applyFill="1" applyBorder="1" applyAlignment="1">
      <alignment horizontal="left" vertical="center" wrapText="1"/>
    </xf>
    <xf numFmtId="0" fontId="11" fillId="40" borderId="9" xfId="9" applyFont="1" applyFill="1" applyBorder="1" applyAlignment="1">
      <alignment horizontal="center" vertical="center" textRotation="90"/>
    </xf>
    <xf numFmtId="0" fontId="67" fillId="0" borderId="84" xfId="11" applyFont="1" applyBorder="1" applyAlignment="1">
      <alignment horizontal="center" vertical="center" wrapText="1"/>
    </xf>
    <xf numFmtId="0" fontId="67" fillId="0" borderId="85" xfId="11" applyFont="1" applyBorder="1" applyAlignment="1">
      <alignment vertical="center" wrapText="1"/>
    </xf>
    <xf numFmtId="0" fontId="67" fillId="18" borderId="85" xfId="11" applyFont="1" applyFill="1" applyBorder="1" applyAlignment="1">
      <alignment vertical="center" wrapText="1"/>
    </xf>
    <xf numFmtId="0" fontId="67" fillId="19" borderId="85" xfId="11" applyFont="1" applyFill="1" applyBorder="1" applyAlignment="1">
      <alignment vertical="center" wrapText="1"/>
    </xf>
    <xf numFmtId="0" fontId="67" fillId="0" borderId="86" xfId="11" applyFont="1" applyBorder="1" applyAlignment="1">
      <alignment horizontal="center" vertical="center" wrapText="1"/>
    </xf>
    <xf numFmtId="0" fontId="67" fillId="18" borderId="86" xfId="11" applyFont="1" applyFill="1" applyBorder="1" applyAlignment="1">
      <alignment horizontal="center" vertical="center" wrapText="1"/>
    </xf>
    <xf numFmtId="0" fontId="67" fillId="26" borderId="86" xfId="11" applyFont="1" applyFill="1" applyBorder="1" applyAlignment="1">
      <alignment horizontal="center" vertical="center" wrapText="1"/>
    </xf>
    <xf numFmtId="0" fontId="67" fillId="26" borderId="84" xfId="11" applyFont="1" applyFill="1" applyBorder="1" applyAlignment="1">
      <alignment vertical="center" wrapText="1"/>
    </xf>
    <xf numFmtId="0" fontId="67" fillId="26" borderId="84" xfId="11" applyFont="1" applyFill="1" applyBorder="1" applyAlignment="1">
      <alignment horizontal="center" vertical="center" wrapText="1"/>
    </xf>
    <xf numFmtId="166" fontId="67" fillId="0" borderId="86" xfId="11" applyNumberFormat="1" applyFont="1" applyBorder="1" applyAlignment="1">
      <alignment horizontal="center" vertical="center" wrapText="1"/>
    </xf>
    <xf numFmtId="0" fontId="67" fillId="18" borderId="84" xfId="11" applyFont="1" applyFill="1" applyBorder="1" applyAlignment="1">
      <alignment vertical="center" wrapText="1"/>
    </xf>
    <xf numFmtId="0" fontId="67" fillId="19" borderId="84" xfId="11" applyFont="1" applyFill="1" applyBorder="1" applyAlignment="1">
      <alignment vertical="center" wrapText="1"/>
    </xf>
    <xf numFmtId="0" fontId="67" fillId="0" borderId="87" xfId="11" applyFont="1" applyBorder="1" applyAlignment="1">
      <alignment vertical="center" wrapText="1"/>
    </xf>
    <xf numFmtId="0" fontId="67" fillId="0" borderId="87" xfId="11" applyFont="1" applyBorder="1" applyAlignment="1">
      <alignment horizontal="left" vertical="center" wrapText="1"/>
    </xf>
    <xf numFmtId="0" fontId="67" fillId="0" borderId="87" xfId="11" applyFont="1" applyBorder="1" applyAlignment="1">
      <alignment horizontal="center" vertical="center" wrapText="1"/>
    </xf>
    <xf numFmtId="0" fontId="67" fillId="18" borderId="87" xfId="11" applyFont="1" applyFill="1" applyBorder="1" applyAlignment="1">
      <alignment horizontal="center" vertical="center" wrapText="1"/>
    </xf>
    <xf numFmtId="0" fontId="121" fillId="0" borderId="87" xfId="11" applyFont="1" applyBorder="1" applyAlignment="1">
      <alignment horizontal="left" vertical="center" wrapText="1"/>
    </xf>
    <xf numFmtId="166" fontId="67" fillId="0" borderId="87" xfId="11" applyNumberFormat="1" applyFont="1" applyBorder="1" applyAlignment="1">
      <alignment horizontal="center" vertical="center" wrapText="1"/>
    </xf>
    <xf numFmtId="0" fontId="67" fillId="19" borderId="87" xfId="11" applyFont="1" applyFill="1" applyBorder="1" applyAlignment="1">
      <alignment horizontal="center" vertical="center" wrapText="1"/>
    </xf>
    <xf numFmtId="0" fontId="67" fillId="26" borderId="87" xfId="11" applyFont="1" applyFill="1" applyBorder="1" applyAlignment="1">
      <alignment horizontal="center" vertical="center" wrapText="1"/>
    </xf>
    <xf numFmtId="0" fontId="67" fillId="0" borderId="85" xfId="11" applyFont="1" applyBorder="1" applyAlignment="1">
      <alignment horizontal="left" vertical="center" wrapText="1"/>
    </xf>
    <xf numFmtId="0" fontId="67" fillId="0" borderId="88" xfId="11" applyFont="1" applyBorder="1" applyAlignment="1">
      <alignment vertical="center" wrapText="1"/>
    </xf>
    <xf numFmtId="0" fontId="67" fillId="18" borderId="84" xfId="11" applyFont="1" applyFill="1" applyBorder="1" applyAlignment="1">
      <alignment horizontal="center" vertical="center" wrapText="1"/>
    </xf>
    <xf numFmtId="0" fontId="67" fillId="0" borderId="135" xfId="11" applyFont="1" applyBorder="1" applyAlignment="1">
      <alignment horizontal="center" vertical="center" wrapText="1"/>
    </xf>
    <xf numFmtId="0" fontId="67" fillId="0" borderId="87" xfId="11" applyFont="1" applyBorder="1" applyAlignment="1">
      <alignment horizontal="left" vertical="top" wrapText="1"/>
    </xf>
    <xf numFmtId="0" fontId="121" fillId="0" borderId="87" xfId="11" applyFont="1" applyBorder="1" applyAlignment="1">
      <alignment horizontal="left" vertical="top" wrapText="1"/>
    </xf>
    <xf numFmtId="0" fontId="67" fillId="0" borderId="89" xfId="11" applyFont="1" applyBorder="1" applyAlignment="1">
      <alignment vertical="center" wrapText="1"/>
    </xf>
    <xf numFmtId="0" fontId="67" fillId="0" borderId="90" xfId="11" applyFont="1" applyBorder="1" applyAlignment="1">
      <alignment vertical="center" wrapText="1"/>
    </xf>
    <xf numFmtId="0" fontId="67" fillId="0" borderId="91" xfId="11" applyFont="1" applyBorder="1" applyAlignment="1">
      <alignment vertical="center" wrapText="1"/>
    </xf>
    <xf numFmtId="0" fontId="67" fillId="0" borderId="134" xfId="11" applyFont="1" applyBorder="1" applyAlignment="1">
      <alignment vertical="center" wrapText="1"/>
    </xf>
    <xf numFmtId="0" fontId="67" fillId="0" borderId="92" xfId="11" applyFont="1" applyBorder="1" applyAlignment="1">
      <alignment vertical="center" wrapText="1"/>
    </xf>
    <xf numFmtId="0" fontId="66" fillId="0" borderId="87" xfId="11" applyFont="1" applyBorder="1" applyAlignment="1">
      <alignment horizontal="left" vertical="center" wrapText="1"/>
    </xf>
    <xf numFmtId="0" fontId="67" fillId="0" borderId="93" xfId="11" applyFont="1" applyBorder="1" applyAlignment="1">
      <alignment vertical="center" wrapText="1"/>
    </xf>
    <xf numFmtId="0" fontId="67" fillId="0" borderId="136" xfId="11" applyFont="1" applyBorder="1" applyAlignment="1">
      <alignment vertical="center" wrapText="1"/>
    </xf>
    <xf numFmtId="0" fontId="66" fillId="18" borderId="87" xfId="11" applyFont="1" applyFill="1" applyBorder="1" applyAlignment="1">
      <alignment horizontal="center" vertical="center" wrapText="1"/>
    </xf>
    <xf numFmtId="0" fontId="66" fillId="18" borderId="86" xfId="11" applyFont="1" applyFill="1" applyBorder="1" applyAlignment="1">
      <alignment horizontal="center" vertical="center" wrapText="1"/>
    </xf>
    <xf numFmtId="0" fontId="66" fillId="0" borderId="87" xfId="11" applyFont="1" applyBorder="1" applyAlignment="1">
      <alignment horizontal="center" vertical="center" wrapText="1"/>
    </xf>
    <xf numFmtId="0" fontId="67" fillId="18" borderId="98" xfId="11" applyFont="1" applyFill="1" applyBorder="1" applyAlignment="1">
      <alignment vertical="center" wrapText="1"/>
    </xf>
    <xf numFmtId="0" fontId="67" fillId="19" borderId="98" xfId="11" applyFont="1" applyFill="1" applyBorder="1" applyAlignment="1">
      <alignment vertical="center" wrapText="1"/>
    </xf>
    <xf numFmtId="0" fontId="66" fillId="18" borderId="84" xfId="11" applyFont="1" applyFill="1" applyBorder="1" applyAlignment="1">
      <alignment vertical="center" wrapText="1"/>
    </xf>
    <xf numFmtId="166" fontId="66" fillId="0" borderId="86" xfId="11" applyNumberFormat="1" applyFont="1" applyBorder="1" applyAlignment="1">
      <alignment horizontal="center" vertical="center" wrapText="1"/>
    </xf>
    <xf numFmtId="0" fontId="66" fillId="0" borderId="84" xfId="11" applyFont="1" applyBorder="1" applyAlignment="1">
      <alignment vertical="center" wrapText="1"/>
    </xf>
    <xf numFmtId="0" fontId="121" fillId="0" borderId="136" xfId="11" applyFont="1" applyBorder="1" applyAlignment="1">
      <alignment vertical="center" wrapText="1"/>
    </xf>
    <xf numFmtId="0" fontId="14" fillId="3" borderId="40" xfId="7" applyFont="1" applyFill="1"/>
    <xf numFmtId="0" fontId="23" fillId="3" borderId="40" xfId="7" applyFont="1" applyFill="1" applyAlignment="1">
      <alignment vertical="center"/>
    </xf>
    <xf numFmtId="0" fontId="14" fillId="3" borderId="40" xfId="8" applyFont="1" applyFill="1"/>
    <xf numFmtId="0" fontId="26" fillId="8" borderId="54" xfId="8" applyFont="1" applyFill="1" applyBorder="1" applyAlignment="1">
      <alignment horizontal="center" vertical="center" wrapText="1" readingOrder="1"/>
    </xf>
    <xf numFmtId="0" fontId="26" fillId="8" borderId="55" xfId="8" applyFont="1" applyFill="1" applyBorder="1" applyAlignment="1">
      <alignment horizontal="center" vertical="center" wrapText="1" readingOrder="1"/>
    </xf>
    <xf numFmtId="0" fontId="26" fillId="8" borderId="56" xfId="8" applyFont="1" applyFill="1" applyBorder="1" applyAlignment="1">
      <alignment horizontal="center" vertical="center" wrapText="1" readingOrder="1"/>
    </xf>
    <xf numFmtId="0" fontId="26" fillId="9" borderId="54" xfId="8" applyFont="1" applyFill="1" applyBorder="1" applyAlignment="1">
      <alignment horizontal="center" wrapText="1" readingOrder="1"/>
    </xf>
    <xf numFmtId="0" fontId="26" fillId="9" borderId="55" xfId="8" applyFont="1" applyFill="1" applyBorder="1" applyAlignment="1">
      <alignment horizontal="center" wrapText="1" readingOrder="1"/>
    </xf>
    <xf numFmtId="0" fontId="26" fillId="9" borderId="56" xfId="8" applyFont="1" applyFill="1" applyBorder="1" applyAlignment="1">
      <alignment horizontal="center" wrapText="1" readingOrder="1"/>
    </xf>
    <xf numFmtId="0" fontId="26" fillId="8" borderId="47" xfId="8" applyFont="1" applyFill="1" applyBorder="1" applyAlignment="1">
      <alignment horizontal="center" vertical="center" wrapText="1" readingOrder="1"/>
    </xf>
    <xf numFmtId="0" fontId="26" fillId="8" borderId="40" xfId="8" applyFont="1" applyFill="1" applyAlignment="1">
      <alignment horizontal="center" vertical="center" wrapText="1" readingOrder="1"/>
    </xf>
    <xf numFmtId="0" fontId="26" fillId="8" borderId="44" xfId="8" applyFont="1" applyFill="1" applyBorder="1" applyAlignment="1">
      <alignment horizontal="center" vertical="center" wrapText="1" readingOrder="1"/>
    </xf>
    <xf numFmtId="0" fontId="26" fillId="9" borderId="47" xfId="8" applyFont="1" applyFill="1" applyBorder="1" applyAlignment="1">
      <alignment horizontal="center" wrapText="1" readingOrder="1"/>
    </xf>
    <xf numFmtId="0" fontId="26" fillId="9" borderId="40" xfId="8" applyFont="1" applyFill="1" applyAlignment="1">
      <alignment horizontal="center" wrapText="1" readingOrder="1"/>
    </xf>
    <xf numFmtId="0" fontId="26" fillId="9" borderId="44" xfId="8" applyFont="1" applyFill="1" applyBorder="1" applyAlignment="1">
      <alignment horizontal="center" wrapText="1" readingOrder="1"/>
    </xf>
    <xf numFmtId="0" fontId="26" fillId="8" borderId="48" xfId="8" applyFont="1" applyFill="1" applyBorder="1" applyAlignment="1">
      <alignment horizontal="center" vertical="center" wrapText="1" readingOrder="1"/>
    </xf>
    <xf numFmtId="0" fontId="26" fillId="8" borderId="50" xfId="8" applyFont="1" applyFill="1" applyBorder="1" applyAlignment="1">
      <alignment horizontal="center" vertical="center" wrapText="1" readingOrder="1"/>
    </xf>
    <xf numFmtId="0" fontId="26" fillId="8" borderId="49" xfId="8" applyFont="1" applyFill="1" applyBorder="1" applyAlignment="1">
      <alignment horizontal="center" vertical="center" wrapText="1" readingOrder="1"/>
    </xf>
    <xf numFmtId="0" fontId="26" fillId="9" borderId="48" xfId="8" applyFont="1" applyFill="1" applyBorder="1" applyAlignment="1">
      <alignment horizontal="center" wrapText="1" readingOrder="1"/>
    </xf>
    <xf numFmtId="0" fontId="26" fillId="9" borderId="50" xfId="8" applyFont="1" applyFill="1" applyBorder="1" applyAlignment="1">
      <alignment horizontal="center" wrapText="1" readingOrder="1"/>
    </xf>
    <xf numFmtId="0" fontId="26" fillId="9" borderId="49" xfId="8" applyFont="1" applyFill="1" applyBorder="1" applyAlignment="1">
      <alignment horizontal="center" wrapText="1" readingOrder="1"/>
    </xf>
    <xf numFmtId="0" fontId="26" fillId="5" borderId="54" xfId="8" applyFont="1" applyFill="1" applyBorder="1" applyAlignment="1">
      <alignment horizontal="center" wrapText="1" readingOrder="1"/>
    </xf>
    <xf numFmtId="0" fontId="26" fillId="5" borderId="55" xfId="8" applyFont="1" applyFill="1" applyBorder="1" applyAlignment="1">
      <alignment horizontal="center" wrapText="1" readingOrder="1"/>
    </xf>
    <xf numFmtId="0" fontId="26" fillId="5" borderId="56" xfId="8" applyFont="1" applyFill="1" applyBorder="1" applyAlignment="1">
      <alignment horizontal="center" wrapText="1" readingOrder="1"/>
    </xf>
    <xf numFmtId="0" fontId="26" fillId="5" borderId="47" xfId="8" applyFont="1" applyFill="1" applyBorder="1" applyAlignment="1">
      <alignment horizontal="center" wrapText="1" readingOrder="1"/>
    </xf>
    <xf numFmtId="0" fontId="26" fillId="5" borderId="40" xfId="8" applyFont="1" applyFill="1" applyAlignment="1">
      <alignment horizontal="center" wrapText="1" readingOrder="1"/>
    </xf>
    <xf numFmtId="0" fontId="26" fillId="5" borderId="44" xfId="8" applyFont="1" applyFill="1" applyBorder="1" applyAlignment="1">
      <alignment horizontal="center" wrapText="1" readingOrder="1"/>
    </xf>
    <xf numFmtId="0" fontId="26" fillId="5" borderId="48" xfId="8" applyFont="1" applyFill="1" applyBorder="1" applyAlignment="1">
      <alignment horizontal="center" wrapText="1" readingOrder="1"/>
    </xf>
    <xf numFmtId="0" fontId="26" fillId="5" borderId="50" xfId="8" applyFont="1" applyFill="1" applyBorder="1" applyAlignment="1">
      <alignment horizontal="center" wrapText="1" readingOrder="1"/>
    </xf>
    <xf numFmtId="0" fontId="26" fillId="5" borderId="49" xfId="8" applyFont="1" applyFill="1" applyBorder="1" applyAlignment="1">
      <alignment horizontal="center" wrapText="1" readingOrder="1"/>
    </xf>
    <xf numFmtId="0" fontId="26" fillId="10" borderId="54" xfId="8" applyFont="1" applyFill="1" applyBorder="1" applyAlignment="1">
      <alignment horizontal="center" wrapText="1" readingOrder="1"/>
    </xf>
    <xf numFmtId="0" fontId="26" fillId="10" borderId="55" xfId="8" applyFont="1" applyFill="1" applyBorder="1" applyAlignment="1">
      <alignment horizontal="center" wrapText="1" readingOrder="1"/>
    </xf>
    <xf numFmtId="0" fontId="26" fillId="10" borderId="56" xfId="8" applyFont="1" applyFill="1" applyBorder="1" applyAlignment="1">
      <alignment horizontal="center" wrapText="1" readingOrder="1"/>
    </xf>
    <xf numFmtId="0" fontId="26" fillId="10" borderId="47" xfId="8" applyFont="1" applyFill="1" applyBorder="1" applyAlignment="1">
      <alignment horizontal="center" wrapText="1" readingOrder="1"/>
    </xf>
    <xf numFmtId="0" fontId="26" fillId="10" borderId="40" xfId="8" applyFont="1" applyFill="1" applyAlignment="1">
      <alignment horizontal="center" wrapText="1" readingOrder="1"/>
    </xf>
    <xf numFmtId="0" fontId="26" fillId="10" borderId="44" xfId="8" applyFont="1" applyFill="1" applyBorder="1" applyAlignment="1">
      <alignment horizontal="center" wrapText="1" readingOrder="1"/>
    </xf>
    <xf numFmtId="0" fontId="26" fillId="10" borderId="48" xfId="8" applyFont="1" applyFill="1" applyBorder="1" applyAlignment="1">
      <alignment horizontal="center" wrapText="1" readingOrder="1"/>
    </xf>
    <xf numFmtId="0" fontId="26" fillId="10" borderId="50" xfId="8" applyFont="1" applyFill="1" applyBorder="1" applyAlignment="1">
      <alignment horizontal="center" wrapText="1" readingOrder="1"/>
    </xf>
    <xf numFmtId="0" fontId="26" fillId="10" borderId="49" xfId="8" applyFont="1" applyFill="1" applyBorder="1" applyAlignment="1">
      <alignment horizontal="center" wrapText="1" readingOrder="1"/>
    </xf>
    <xf numFmtId="0" fontId="28" fillId="5" borderId="55" xfId="8" applyFont="1" applyFill="1" applyBorder="1" applyAlignment="1">
      <alignment horizontal="center" wrapText="1" readingOrder="1"/>
    </xf>
    <xf numFmtId="0" fontId="23" fillId="3" borderId="40" xfId="8" applyFont="1" applyFill="1" applyAlignment="1">
      <alignment vertical="center"/>
    </xf>
    <xf numFmtId="0" fontId="95" fillId="29" borderId="0" xfId="0" applyFont="1" applyFill="1"/>
    <xf numFmtId="0" fontId="125" fillId="0" borderId="40" xfId="11" applyFont="1" applyAlignment="1">
      <alignment horizontal="center" vertical="center" wrapText="1"/>
    </xf>
    <xf numFmtId="0" fontId="125" fillId="0" borderId="40" xfId="11" applyFont="1" applyAlignment="1">
      <alignment vertical="center" wrapText="1"/>
    </xf>
    <xf numFmtId="0" fontId="126" fillId="23" borderId="133" xfId="11" applyFont="1" applyFill="1" applyBorder="1" applyAlignment="1">
      <alignment horizontal="center" vertical="center" wrapText="1"/>
    </xf>
    <xf numFmtId="0" fontId="127" fillId="18" borderId="40" xfId="11" applyFont="1" applyFill="1" applyAlignment="1">
      <alignment horizontal="center" vertical="center" wrapText="1"/>
    </xf>
    <xf numFmtId="0" fontId="128" fillId="18" borderId="40" xfId="11" applyFont="1" applyFill="1" applyAlignment="1">
      <alignment horizontal="center" vertical="center" wrapText="1"/>
    </xf>
    <xf numFmtId="0" fontId="128" fillId="24" borderId="40" xfId="11" applyFont="1" applyFill="1" applyAlignment="1">
      <alignment horizontal="center" vertical="center" wrapText="1"/>
    </xf>
    <xf numFmtId="0" fontId="127" fillId="25" borderId="40" xfId="11" applyFont="1" applyFill="1" applyAlignment="1">
      <alignment horizontal="center" vertical="center" wrapText="1"/>
    </xf>
    <xf numFmtId="0" fontId="129" fillId="0" borderId="84" xfId="11" applyFont="1" applyBorder="1" applyAlignment="1">
      <alignment horizontal="center" vertical="center" wrapText="1"/>
    </xf>
    <xf numFmtId="0" fontId="129" fillId="0" borderId="98" xfId="11" applyFont="1" applyBorder="1" applyAlignment="1">
      <alignment vertical="center" wrapText="1"/>
    </xf>
    <xf numFmtId="0" fontId="129" fillId="18" borderId="85" xfId="11" applyFont="1" applyFill="1" applyBorder="1" applyAlignment="1">
      <alignment horizontal="center" vertical="center" wrapText="1"/>
    </xf>
    <xf numFmtId="0" fontId="129" fillId="18" borderId="98" xfId="11" applyFont="1" applyFill="1" applyBorder="1" applyAlignment="1">
      <alignment vertical="center" wrapText="1"/>
    </xf>
    <xf numFmtId="0" fontId="129" fillId="19" borderId="98" xfId="11" applyFont="1" applyFill="1" applyBorder="1" applyAlignment="1">
      <alignment vertical="center" wrapText="1"/>
    </xf>
    <xf numFmtId="0" fontId="129" fillId="0" borderId="87" xfId="11" applyFont="1" applyBorder="1" applyAlignment="1">
      <alignment horizontal="center" vertical="center" wrapText="1"/>
    </xf>
    <xf numFmtId="0" fontId="125" fillId="18" borderId="87" xfId="11" applyFont="1" applyFill="1" applyBorder="1" applyAlignment="1">
      <alignment horizontal="center" vertical="center" wrapText="1"/>
    </xf>
    <xf numFmtId="0" fontId="125" fillId="18" borderId="86" xfId="11" applyFont="1" applyFill="1" applyBorder="1" applyAlignment="1">
      <alignment horizontal="center" vertical="center" wrapText="1"/>
    </xf>
    <xf numFmtId="0" fontId="125" fillId="26" borderId="86" xfId="11" applyFont="1" applyFill="1" applyBorder="1" applyAlignment="1">
      <alignment horizontal="center" vertical="center" wrapText="1"/>
    </xf>
    <xf numFmtId="0" fontId="125" fillId="26" borderId="84" xfId="11" applyFont="1" applyFill="1" applyBorder="1" applyAlignment="1">
      <alignment vertical="center" wrapText="1"/>
    </xf>
    <xf numFmtId="0" fontId="125" fillId="18" borderId="84" xfId="11" applyFont="1" applyFill="1" applyBorder="1" applyAlignment="1">
      <alignment vertical="center" wrapText="1"/>
    </xf>
    <xf numFmtId="0" fontId="125" fillId="26" borderId="84" xfId="11" applyFont="1" applyFill="1" applyBorder="1" applyAlignment="1">
      <alignment horizontal="center" vertical="center" wrapText="1"/>
    </xf>
    <xf numFmtId="0" fontId="129" fillId="0" borderId="84" xfId="11" applyFont="1" applyBorder="1" applyAlignment="1">
      <alignment vertical="center" wrapText="1"/>
    </xf>
    <xf numFmtId="0" fontId="125" fillId="0" borderId="87" xfId="11" applyFont="1" applyBorder="1" applyAlignment="1">
      <alignment horizontal="center" vertical="center" wrapText="1"/>
    </xf>
    <xf numFmtId="14" fontId="125" fillId="0" borderId="87" xfId="11" applyNumberFormat="1" applyFont="1" applyBorder="1" applyAlignment="1">
      <alignment horizontal="center" vertical="center" wrapText="1"/>
    </xf>
    <xf numFmtId="166" fontId="125" fillId="0" borderId="87" xfId="11" applyNumberFormat="1" applyFont="1" applyBorder="1" applyAlignment="1">
      <alignment horizontal="center" vertical="center" wrapText="1"/>
    </xf>
    <xf numFmtId="0" fontId="125" fillId="0" borderId="84" xfId="11" applyFont="1" applyBorder="1" applyAlignment="1">
      <alignment vertical="center" wrapText="1"/>
    </xf>
    <xf numFmtId="0" fontId="42" fillId="3" borderId="40" xfId="0" applyFont="1" applyFill="1" applyBorder="1"/>
    <xf numFmtId="0" fontId="40" fillId="3" borderId="40" xfId="0" applyFont="1" applyFill="1" applyBorder="1" applyAlignment="1">
      <alignment horizontal="left" vertical="center" wrapText="1" readingOrder="1"/>
    </xf>
    <xf numFmtId="0" fontId="131" fillId="3" borderId="40" xfId="0" applyFont="1" applyFill="1" applyBorder="1" applyAlignment="1">
      <alignment vertical="center"/>
    </xf>
    <xf numFmtId="0" fontId="132" fillId="0" borderId="0" xfId="0" applyFont="1"/>
    <xf numFmtId="0" fontId="67" fillId="0" borderId="136" xfId="11" applyFont="1" applyBorder="1" applyAlignment="1">
      <alignment vertical="top" wrapText="1"/>
    </xf>
    <xf numFmtId="0" fontId="0" fillId="0" borderId="78" xfId="0" applyBorder="1" applyAlignment="1">
      <alignment vertical="center" wrapText="1"/>
    </xf>
    <xf numFmtId="0" fontId="8" fillId="0" borderId="6" xfId="9" applyFont="1" applyBorder="1" applyAlignment="1">
      <alignment horizontal="center" vertical="center"/>
    </xf>
    <xf numFmtId="0" fontId="8" fillId="0" borderId="6" xfId="9" applyFont="1" applyBorder="1" applyAlignment="1">
      <alignment vertical="center"/>
    </xf>
    <xf numFmtId="0" fontId="8" fillId="0" borderId="6" xfId="9" applyFont="1" applyBorder="1" applyAlignment="1">
      <alignment vertical="center" wrapText="1"/>
    </xf>
    <xf numFmtId="0" fontId="8" fillId="0" borderId="10" xfId="9" applyFont="1" applyBorder="1" applyAlignment="1">
      <alignment vertical="center" wrapText="1"/>
    </xf>
    <xf numFmtId="0" fontId="8" fillId="0" borderId="6" xfId="9" applyFont="1" applyBorder="1" applyAlignment="1">
      <alignment horizontal="center" vertical="center" wrapText="1"/>
    </xf>
    <xf numFmtId="0" fontId="50" fillId="0" borderId="9" xfId="9" applyFont="1" applyBorder="1" applyAlignment="1">
      <alignment horizontal="left" vertical="center" wrapText="1"/>
    </xf>
    <xf numFmtId="0" fontId="8" fillId="0" borderId="9" xfId="9" applyFont="1" applyBorder="1" applyAlignment="1">
      <alignment horizontal="center" vertical="center" textRotation="90"/>
    </xf>
    <xf numFmtId="164" fontId="8" fillId="0" borderId="9" xfId="9" applyNumberFormat="1" applyFont="1" applyBorder="1" applyAlignment="1">
      <alignment horizontal="center" vertical="center"/>
    </xf>
    <xf numFmtId="0" fontId="8" fillId="0" borderId="6" xfId="9" applyFont="1" applyBorder="1" applyAlignment="1">
      <alignment horizontal="center" vertical="center" textRotation="90"/>
    </xf>
    <xf numFmtId="0" fontId="8" fillId="0" borderId="9" xfId="9" applyFont="1" applyBorder="1" applyAlignment="1">
      <alignment horizontal="center" vertical="center" wrapText="1"/>
    </xf>
    <xf numFmtId="166" fontId="8" fillId="0" borderId="9" xfId="9" applyNumberFormat="1" applyFont="1" applyBorder="1" applyAlignment="1">
      <alignment horizontal="center" vertical="center"/>
    </xf>
    <xf numFmtId="0" fontId="8" fillId="3" borderId="40" xfId="9" applyFont="1" applyFill="1" applyAlignment="1">
      <alignment vertical="center"/>
    </xf>
    <xf numFmtId="0" fontId="8" fillId="0" borderId="9" xfId="9" applyFont="1" applyBorder="1" applyAlignment="1">
      <alignment horizontal="left" vertical="center" wrapText="1"/>
    </xf>
    <xf numFmtId="0" fontId="7" fillId="0" borderId="10" xfId="9" applyFont="1" applyBorder="1" applyAlignment="1">
      <alignment horizontal="center" vertical="center"/>
    </xf>
    <xf numFmtId="0" fontId="8" fillId="0" borderId="10" xfId="9" applyFont="1" applyBorder="1" applyAlignment="1">
      <alignment horizontal="center" vertical="center"/>
    </xf>
    <xf numFmtId="0" fontId="109" fillId="0" borderId="6" xfId="9" applyFont="1" applyBorder="1" applyAlignment="1">
      <alignment vertical="center" wrapText="1"/>
    </xf>
    <xf numFmtId="0" fontId="11" fillId="0" borderId="6" xfId="9" applyFont="1" applyBorder="1" applyAlignment="1">
      <alignment horizontal="center" vertical="center" wrapText="1"/>
    </xf>
    <xf numFmtId="0" fontId="118" fillId="0" borderId="9" xfId="9" applyFont="1" applyBorder="1" applyAlignment="1">
      <alignment horizontal="left" vertical="center" wrapText="1"/>
    </xf>
    <xf numFmtId="0" fontId="117" fillId="0" borderId="9" xfId="9" applyFont="1" applyBorder="1" applyAlignment="1">
      <alignment horizontal="left" vertical="center" wrapText="1"/>
    </xf>
    <xf numFmtId="14" fontId="8" fillId="0" borderId="9" xfId="9" applyNumberFormat="1" applyFont="1" applyBorder="1" applyAlignment="1">
      <alignment horizontal="center" vertical="center"/>
    </xf>
    <xf numFmtId="0" fontId="8" fillId="0" borderId="9" xfId="9" applyFont="1" applyBorder="1" applyAlignment="1">
      <alignment horizontal="center" vertical="top"/>
    </xf>
    <xf numFmtId="0" fontId="8" fillId="0" borderId="9" xfId="9" applyFont="1" applyBorder="1" applyAlignment="1">
      <alignment horizontal="center" vertical="top" textRotation="90"/>
    </xf>
    <xf numFmtId="9" fontId="8" fillId="0" borderId="9" xfId="9" applyNumberFormat="1" applyFont="1" applyBorder="1" applyAlignment="1">
      <alignment horizontal="center" vertical="top"/>
    </xf>
    <xf numFmtId="164" fontId="8" fillId="0" borderId="9" xfId="9" applyNumberFormat="1" applyFont="1" applyBorder="1" applyAlignment="1">
      <alignment horizontal="center" vertical="top"/>
    </xf>
    <xf numFmtId="0" fontId="11" fillId="0" borderId="9" xfId="9" applyFont="1" applyBorder="1" applyAlignment="1">
      <alignment horizontal="center" vertical="top" textRotation="90" wrapText="1"/>
    </xf>
    <xf numFmtId="9" fontId="8" fillId="0" borderId="6" xfId="9" applyNumberFormat="1" applyFont="1" applyBorder="1" applyAlignment="1">
      <alignment horizontal="center" vertical="top"/>
    </xf>
    <xf numFmtId="0" fontId="11" fillId="0" borderId="9" xfId="9" applyFont="1" applyBorder="1" applyAlignment="1">
      <alignment horizontal="center" vertical="top" textRotation="90"/>
    </xf>
    <xf numFmtId="0" fontId="8" fillId="0" borderId="6" xfId="9" applyFont="1" applyBorder="1" applyAlignment="1">
      <alignment horizontal="center" vertical="top" textRotation="90"/>
    </xf>
    <xf numFmtId="0" fontId="8" fillId="0" borderId="9" xfId="9" applyFont="1" applyBorder="1" applyAlignment="1">
      <alignment horizontal="center" vertical="top" wrapText="1"/>
    </xf>
    <xf numFmtId="14" fontId="8" fillId="0" borderId="9" xfId="9" applyNumberFormat="1" applyFont="1" applyBorder="1" applyAlignment="1">
      <alignment horizontal="center" vertical="top"/>
    </xf>
    <xf numFmtId="0" fontId="85" fillId="0" borderId="9" xfId="9" applyFont="1" applyBorder="1" applyAlignment="1">
      <alignment horizontal="left" vertical="center" wrapText="1"/>
    </xf>
    <xf numFmtId="0" fontId="117" fillId="0" borderId="9" xfId="9" applyFont="1" applyBorder="1" applyAlignment="1">
      <alignment horizontal="left" vertical="top" wrapText="1"/>
    </xf>
    <xf numFmtId="0" fontId="114" fillId="0" borderId="40" xfId="9" applyAlignment="1">
      <alignment wrapText="1"/>
    </xf>
    <xf numFmtId="0" fontId="92" fillId="0" borderId="9" xfId="9" applyFont="1" applyBorder="1" applyAlignment="1">
      <alignment horizontal="left" vertical="top" wrapText="1"/>
    </xf>
    <xf numFmtId="0" fontId="8" fillId="0" borderId="6" xfId="0" applyFont="1" applyBorder="1" applyAlignment="1">
      <alignment horizontal="center" vertical="center" wrapText="1"/>
    </xf>
    <xf numFmtId="0" fontId="96" fillId="2" borderId="6" xfId="0" applyFont="1" applyFill="1" applyBorder="1" applyAlignment="1">
      <alignment vertical="center" textRotation="90"/>
    </xf>
    <xf numFmtId="0" fontId="93" fillId="2" borderId="6" xfId="0" applyFont="1" applyFill="1" applyBorder="1" applyAlignment="1">
      <alignment vertical="center" wrapText="1"/>
    </xf>
    <xf numFmtId="0" fontId="97" fillId="2" borderId="6" xfId="0" applyFont="1" applyFill="1" applyBorder="1" applyAlignment="1">
      <alignment vertical="center" wrapText="1"/>
    </xf>
    <xf numFmtId="0" fontId="93" fillId="2" borderId="6" xfId="0" applyFont="1" applyFill="1" applyBorder="1" applyAlignment="1">
      <alignment vertical="center"/>
    </xf>
    <xf numFmtId="0" fontId="93" fillId="2" borderId="6" xfId="0" applyFont="1" applyFill="1" applyBorder="1" applyAlignment="1">
      <alignment vertical="center" textRotation="90" wrapText="1"/>
    </xf>
    <xf numFmtId="0" fontId="93" fillId="2" borderId="1" xfId="0" applyFont="1" applyFill="1" applyBorder="1" applyAlignment="1">
      <alignment vertical="center" wrapText="1"/>
    </xf>
    <xf numFmtId="0" fontId="93" fillId="2" borderId="9" xfId="0" applyFont="1" applyFill="1" applyBorder="1" applyAlignment="1">
      <alignment horizontal="center" vertical="center" textRotation="90"/>
    </xf>
    <xf numFmtId="0" fontId="95" fillId="0" borderId="6" xfId="0" applyFont="1" applyBorder="1" applyAlignment="1">
      <alignment horizontal="center" vertical="center"/>
    </xf>
    <xf numFmtId="0" fontId="95" fillId="0" borderId="6" xfId="0" applyFont="1" applyBorder="1" applyAlignment="1">
      <alignment vertical="center" wrapText="1"/>
    </xf>
    <xf numFmtId="0" fontId="8" fillId="0" borderId="6" xfId="0" applyFont="1" applyBorder="1" applyAlignment="1">
      <alignment vertical="center" wrapText="1"/>
    </xf>
    <xf numFmtId="0" fontId="8" fillId="0" borderId="6" xfId="0" applyFont="1" applyBorder="1" applyAlignment="1">
      <alignment horizontal="left" vertical="center" wrapText="1"/>
    </xf>
    <xf numFmtId="0" fontId="93" fillId="0" borderId="6" xfId="0" applyFont="1" applyBorder="1" applyAlignment="1">
      <alignment vertical="center" wrapText="1"/>
    </xf>
    <xf numFmtId="9" fontId="95" fillId="0" borderId="6" xfId="0" applyNumberFormat="1" applyFont="1" applyBorder="1" applyAlignment="1">
      <alignment vertical="center" wrapText="1"/>
    </xf>
    <xf numFmtId="9" fontId="8" fillId="0" borderId="6" xfId="7" applyNumberFormat="1" applyFont="1" applyBorder="1" applyAlignment="1">
      <alignment horizontal="center" vertical="center" wrapText="1"/>
    </xf>
    <xf numFmtId="0" fontId="11" fillId="0" borderId="6" xfId="7" applyFont="1" applyBorder="1" applyAlignment="1">
      <alignment horizontal="center" vertical="center" wrapText="1"/>
    </xf>
    <xf numFmtId="0" fontId="11" fillId="0" borderId="6" xfId="7" applyFont="1" applyBorder="1" applyAlignment="1">
      <alignment horizontal="center" vertical="center"/>
    </xf>
    <xf numFmtId="0" fontId="108" fillId="0" borderId="9" xfId="0" applyFont="1" applyBorder="1" applyAlignment="1">
      <alignment horizontal="center" vertical="center"/>
    </xf>
    <xf numFmtId="0" fontId="108" fillId="0" borderId="9" xfId="0" applyFont="1" applyBorder="1" applyAlignment="1">
      <alignment horizontal="left" vertical="center" wrapText="1"/>
    </xf>
    <xf numFmtId="0" fontId="8" fillId="0" borderId="9" xfId="7" applyFont="1" applyBorder="1" applyAlignment="1">
      <alignment horizontal="center" vertical="center"/>
    </xf>
    <xf numFmtId="0" fontId="8" fillId="0" borderId="9" xfId="7" applyFont="1" applyBorder="1" applyAlignment="1">
      <alignment horizontal="center" vertical="center" textRotation="90"/>
    </xf>
    <xf numFmtId="9" fontId="95" fillId="0" borderId="9" xfId="0" applyNumberFormat="1" applyFont="1" applyBorder="1" applyAlignment="1">
      <alignment horizontal="center" vertical="center"/>
    </xf>
    <xf numFmtId="164" fontId="95" fillId="0" borderId="9" xfId="0" applyNumberFormat="1" applyFont="1" applyBorder="1" applyAlignment="1">
      <alignment horizontal="center" vertical="center"/>
    </xf>
    <xf numFmtId="0" fontId="93" fillId="0" borderId="9" xfId="0" applyFont="1" applyBorder="1" applyAlignment="1">
      <alignment horizontal="center" vertical="center" textRotation="90" wrapText="1"/>
    </xf>
    <xf numFmtId="9" fontId="95" fillId="0" borderId="6" xfId="0" applyNumberFormat="1" applyFont="1" applyBorder="1" applyAlignment="1">
      <alignment horizontal="center" vertical="center"/>
    </xf>
    <xf numFmtId="0" fontId="93" fillId="0" borderId="9" xfId="0" applyFont="1" applyBorder="1" applyAlignment="1">
      <alignment horizontal="center" vertical="center" textRotation="90"/>
    </xf>
    <xf numFmtId="0" fontId="8" fillId="0" borderId="6" xfId="7" applyFont="1" applyBorder="1" applyAlignment="1">
      <alignment horizontal="center" vertical="center" textRotation="90"/>
    </xf>
    <xf numFmtId="0" fontId="8" fillId="0" borderId="9" xfId="7" applyFont="1" applyBorder="1" applyAlignment="1">
      <alignment horizontal="center" vertical="center" wrapText="1"/>
    </xf>
    <xf numFmtId="166" fontId="8" fillId="0" borderId="9" xfId="7" applyNumberFormat="1" applyFont="1" applyBorder="1" applyAlignment="1">
      <alignment horizontal="center" vertical="center"/>
    </xf>
    <xf numFmtId="166" fontId="8" fillId="0" borderId="9" xfId="7" applyNumberFormat="1" applyFont="1" applyBorder="1" applyAlignment="1">
      <alignment horizontal="center" vertical="center" wrapText="1"/>
    </xf>
    <xf numFmtId="0" fontId="95" fillId="0" borderId="3" xfId="0" applyFont="1" applyBorder="1" applyAlignment="1">
      <alignment horizontal="center" vertical="center" wrapText="1"/>
    </xf>
    <xf numFmtId="0" fontId="94" fillId="0" borderId="10" xfId="0" applyFont="1" applyBorder="1" applyAlignment="1">
      <alignment horizontal="center" vertical="center"/>
    </xf>
    <xf numFmtId="0" fontId="95" fillId="0" borderId="10" xfId="0" applyFont="1" applyBorder="1" applyAlignment="1">
      <alignment vertical="center" wrapText="1"/>
    </xf>
    <xf numFmtId="0" fontId="108" fillId="0" borderId="6" xfId="0" applyFont="1" applyBorder="1" applyAlignment="1">
      <alignment vertical="center" wrapText="1"/>
    </xf>
    <xf numFmtId="0" fontId="108" fillId="0" borderId="6" xfId="0" applyFont="1" applyBorder="1" applyAlignment="1">
      <alignment horizontal="left" vertical="center" wrapText="1"/>
    </xf>
    <xf numFmtId="0" fontId="108" fillId="0" borderId="6" xfId="0" applyFont="1" applyBorder="1" applyAlignment="1">
      <alignment horizontal="center" vertical="center" wrapText="1"/>
    </xf>
    <xf numFmtId="0" fontId="8" fillId="0" borderId="6" xfId="7" applyFont="1" applyBorder="1" applyAlignment="1">
      <alignment vertical="center" wrapText="1"/>
    </xf>
    <xf numFmtId="0" fontId="8" fillId="0" borderId="6" xfId="7" applyFont="1" applyBorder="1" applyAlignment="1">
      <alignment horizontal="left" vertical="center" wrapText="1"/>
    </xf>
    <xf numFmtId="0" fontId="8" fillId="0" borderId="6" xfId="7" applyFont="1" applyBorder="1" applyAlignment="1">
      <alignment horizontal="center" vertical="center" wrapText="1"/>
    </xf>
    <xf numFmtId="0" fontId="8" fillId="0" borderId="9" xfId="7" applyFont="1" applyBorder="1" applyAlignment="1">
      <alignment horizontal="left" vertical="center" wrapText="1"/>
    </xf>
    <xf numFmtId="0" fontId="94" fillId="0" borderId="8" xfId="0" applyFont="1" applyBorder="1" applyAlignment="1">
      <alignment horizontal="center" vertical="center"/>
    </xf>
    <xf numFmtId="0" fontId="95" fillId="0" borderId="8" xfId="0" applyFont="1" applyBorder="1" applyAlignment="1">
      <alignment vertical="center" wrapText="1"/>
    </xf>
    <xf numFmtId="166" fontId="8" fillId="0" borderId="6" xfId="7" applyNumberFormat="1" applyFont="1" applyBorder="1" applyAlignment="1">
      <alignment horizontal="center" vertical="center"/>
    </xf>
    <xf numFmtId="0" fontId="8" fillId="0" borderId="10" xfId="7" applyFont="1" applyBorder="1" applyAlignment="1">
      <alignment horizontal="center" vertical="center" wrapText="1"/>
    </xf>
    <xf numFmtId="0" fontId="8" fillId="0" borderId="8" xfId="7" applyFont="1" applyBorder="1" applyAlignment="1">
      <alignment horizontal="center" vertical="center" wrapText="1"/>
    </xf>
    <xf numFmtId="166" fontId="8" fillId="0" borderId="8" xfId="7" applyNumberFormat="1" applyFont="1" applyBorder="1" applyAlignment="1">
      <alignment horizontal="center" vertical="center"/>
    </xf>
    <xf numFmtId="0" fontId="95" fillId="0" borderId="6" xfId="0" applyFont="1" applyBorder="1" applyAlignment="1">
      <alignment vertical="top" wrapText="1"/>
    </xf>
    <xf numFmtId="0" fontId="109" fillId="0" borderId="6" xfId="7" applyFont="1" applyBorder="1" applyAlignment="1">
      <alignment horizontal="left" vertical="center" wrapText="1"/>
    </xf>
    <xf numFmtId="0" fontId="109" fillId="0" borderId="6" xfId="7" applyFont="1" applyBorder="1" applyAlignment="1">
      <alignment vertical="center" wrapText="1"/>
    </xf>
    <xf numFmtId="0" fontId="109" fillId="0" borderId="9" xfId="7" applyFont="1" applyBorder="1" applyAlignment="1">
      <alignment horizontal="left" vertical="center" wrapText="1"/>
    </xf>
    <xf numFmtId="164" fontId="95" fillId="4" borderId="9" xfId="0" applyNumberFormat="1" applyFont="1" applyFill="1" applyBorder="1" applyAlignment="1">
      <alignment horizontal="center" vertical="center"/>
    </xf>
    <xf numFmtId="0" fontId="109" fillId="0" borderId="10" xfId="7" applyFont="1" applyBorder="1" applyAlignment="1">
      <alignment horizontal="center" vertical="center"/>
    </xf>
    <xf numFmtId="14" fontId="8" fillId="0" borderId="9" xfId="7" applyNumberFormat="1" applyFont="1" applyBorder="1" applyAlignment="1">
      <alignment horizontal="center" vertical="center" wrapText="1"/>
    </xf>
    <xf numFmtId="0" fontId="8" fillId="0" borderId="9" xfId="7" applyFont="1" applyBorder="1" applyAlignment="1">
      <alignment horizontal="left" vertical="center" wrapText="1" indent="1"/>
    </xf>
    <xf numFmtId="0" fontId="8" fillId="29" borderId="9" xfId="7" applyFont="1" applyFill="1" applyBorder="1" applyAlignment="1">
      <alignment horizontal="left" vertical="center" wrapText="1"/>
    </xf>
    <xf numFmtId="164" fontId="8" fillId="0" borderId="9" xfId="7" applyNumberFormat="1" applyFont="1" applyBorder="1" applyAlignment="1">
      <alignment horizontal="center" vertical="center"/>
    </xf>
    <xf numFmtId="0" fontId="108" fillId="0" borderId="6" xfId="7" applyFont="1" applyBorder="1" applyAlignment="1">
      <alignment horizontal="left" vertical="center" wrapText="1"/>
    </xf>
    <xf numFmtId="0" fontId="109" fillId="0" borderId="10" xfId="7" applyFont="1" applyBorder="1" applyAlignment="1">
      <alignment horizontal="center" vertical="center" wrapText="1"/>
    </xf>
    <xf numFmtId="0" fontId="8" fillId="0" borderId="40" xfId="7" applyFont="1" applyAlignment="1">
      <alignment horizontal="center" vertical="center" wrapText="1"/>
    </xf>
    <xf numFmtId="0" fontId="8" fillId="0" borderId="40" xfId="7" applyFont="1" applyAlignment="1">
      <alignment horizontal="center" vertical="center"/>
    </xf>
    <xf numFmtId="0" fontId="8" fillId="41" borderId="9" xfId="7" applyFont="1" applyFill="1" applyBorder="1" applyAlignment="1">
      <alignment horizontal="left" vertical="center" wrapText="1"/>
    </xf>
    <xf numFmtId="0" fontId="8" fillId="0" borderId="7" xfId="7" applyFont="1" applyBorder="1" applyAlignment="1">
      <alignment horizontal="center" vertical="center"/>
    </xf>
    <xf numFmtId="0" fontId="8" fillId="0" borderId="108" xfId="7" applyFont="1" applyBorder="1" applyAlignment="1">
      <alignment horizontal="center" vertical="center"/>
    </xf>
    <xf numFmtId="0" fontId="108" fillId="0" borderId="6" xfId="7" applyFont="1" applyBorder="1" applyAlignment="1">
      <alignment vertical="center" wrapText="1"/>
    </xf>
    <xf numFmtId="0" fontId="108" fillId="0" borderId="9" xfId="7" applyFont="1" applyBorder="1" applyAlignment="1">
      <alignment horizontal="center" vertical="center" wrapText="1"/>
    </xf>
    <xf numFmtId="166" fontId="108" fillId="0" borderId="9" xfId="7" applyNumberFormat="1" applyFont="1" applyBorder="1" applyAlignment="1">
      <alignment horizontal="center" vertical="center"/>
    </xf>
    <xf numFmtId="10" fontId="8" fillId="0" borderId="9" xfId="7" applyNumberFormat="1" applyFont="1" applyBorder="1" applyAlignment="1">
      <alignment horizontal="center" vertical="center" textRotation="90"/>
    </xf>
    <xf numFmtId="9" fontId="8" fillId="0" borderId="9" xfId="7" applyNumberFormat="1" applyFont="1" applyBorder="1" applyAlignment="1">
      <alignment horizontal="center" vertical="center" textRotation="90"/>
    </xf>
    <xf numFmtId="0" fontId="8" fillId="0" borderId="9" xfId="7" applyFont="1" applyBorder="1" applyAlignment="1">
      <alignment horizontal="left" vertical="top" wrapText="1"/>
    </xf>
    <xf numFmtId="0" fontId="11" fillId="0" borderId="9" xfId="7" applyFont="1" applyBorder="1" applyAlignment="1">
      <alignment horizontal="left" vertical="top" wrapText="1"/>
    </xf>
    <xf numFmtId="0" fontId="8" fillId="0" borderId="8" xfId="7" applyFont="1" applyBorder="1" applyAlignment="1">
      <alignment horizontal="left" vertical="center" wrapText="1"/>
    </xf>
    <xf numFmtId="0" fontId="8" fillId="0" borderId="10" xfId="7" applyFont="1" applyBorder="1" applyAlignment="1">
      <alignment horizontal="left" vertical="center" wrapText="1"/>
    </xf>
    <xf numFmtId="0" fontId="8" fillId="0" borderId="108" xfId="7" applyFont="1" applyBorder="1" applyAlignment="1">
      <alignment vertical="center" wrapText="1"/>
    </xf>
    <xf numFmtId="0" fontId="8" fillId="0" borderId="108" xfId="7" applyFont="1" applyBorder="1" applyAlignment="1">
      <alignment horizontal="left" vertical="center" wrapText="1"/>
    </xf>
    <xf numFmtId="0" fontId="8" fillId="0" borderId="10" xfId="7" applyFont="1" applyBorder="1" applyAlignment="1">
      <alignment vertical="center" wrapText="1"/>
    </xf>
    <xf numFmtId="0" fontId="95" fillId="29" borderId="6" xfId="0" applyFont="1" applyFill="1" applyBorder="1" applyAlignment="1">
      <alignment horizontal="center" vertical="center"/>
    </xf>
    <xf numFmtId="0" fontId="95" fillId="29" borderId="6" xfId="0" applyFont="1" applyFill="1" applyBorder="1" applyAlignment="1">
      <alignment vertical="center" wrapText="1"/>
    </xf>
    <xf numFmtId="0" fontId="8" fillId="29" borderId="6" xfId="7" applyFont="1" applyFill="1" applyBorder="1" applyAlignment="1">
      <alignment horizontal="center" vertical="center" wrapText="1"/>
    </xf>
    <xf numFmtId="0" fontId="8" fillId="29" borderId="8" xfId="7" applyFont="1" applyFill="1" applyBorder="1" applyAlignment="1">
      <alignment horizontal="left" vertical="center" wrapText="1"/>
    </xf>
    <xf numFmtId="0" fontId="109" fillId="29" borderId="10" xfId="7" applyFont="1" applyFill="1" applyBorder="1" applyAlignment="1">
      <alignment horizontal="center" vertical="center" wrapText="1"/>
    </xf>
    <xf numFmtId="0" fontId="8" fillId="29" borderId="7" xfId="7" applyFont="1" applyFill="1" applyBorder="1" applyAlignment="1">
      <alignment horizontal="center" vertical="center"/>
    </xf>
    <xf numFmtId="165" fontId="108" fillId="0" borderId="9" xfId="7" applyNumberFormat="1" applyFont="1" applyBorder="1" applyAlignment="1">
      <alignment horizontal="center" vertical="center" wrapText="1"/>
    </xf>
    <xf numFmtId="0" fontId="109" fillId="0" borderId="8" xfId="7" applyFont="1" applyBorder="1" applyAlignment="1">
      <alignment horizontal="center" vertical="center" wrapText="1"/>
    </xf>
    <xf numFmtId="0" fontId="67" fillId="18" borderId="85" xfId="16" applyFont="1" applyFill="1" applyBorder="1" applyAlignment="1">
      <alignment horizontal="center" vertical="center" wrapText="1"/>
    </xf>
    <xf numFmtId="0" fontId="67" fillId="18" borderId="98" xfId="16" applyFont="1" applyFill="1" applyBorder="1" applyAlignment="1">
      <alignment vertical="center" wrapText="1"/>
    </xf>
    <xf numFmtId="0" fontId="121" fillId="0" borderId="98" xfId="16" applyFont="1" applyBorder="1" applyAlignment="1">
      <alignment vertical="center" wrapText="1"/>
    </xf>
    <xf numFmtId="0" fontId="67" fillId="19" borderId="98" xfId="16" applyFont="1" applyFill="1" applyBorder="1" applyAlignment="1">
      <alignment vertical="center" wrapText="1"/>
    </xf>
    <xf numFmtId="0" fontId="67" fillId="0" borderId="98" xfId="16" applyFont="1" applyBorder="1" applyAlignment="1">
      <alignment vertical="center" wrapText="1"/>
    </xf>
    <xf numFmtId="14" fontId="66" fillId="0" borderId="86" xfId="11" applyNumberFormat="1" applyFont="1" applyBorder="1" applyAlignment="1">
      <alignment horizontal="center" vertical="center" wrapText="1"/>
    </xf>
    <xf numFmtId="0" fontId="62" fillId="27" borderId="78" xfId="1" applyFont="1" applyFill="1" applyBorder="1" applyAlignment="1">
      <alignment horizontal="center" vertical="center" wrapText="1"/>
    </xf>
    <xf numFmtId="0" fontId="66" fillId="24" borderId="78" xfId="1" applyFont="1" applyFill="1" applyBorder="1" applyAlignment="1">
      <alignment horizontal="center" vertical="center" wrapText="1"/>
    </xf>
    <xf numFmtId="0" fontId="68" fillId="24" borderId="78" xfId="1" applyFont="1" applyFill="1" applyBorder="1" applyAlignment="1">
      <alignment horizontal="center" vertical="center" wrapText="1"/>
    </xf>
    <xf numFmtId="0" fontId="66" fillId="0" borderId="78" xfId="11" applyFont="1" applyBorder="1" applyAlignment="1">
      <alignment horizontal="center" vertical="center"/>
    </xf>
    <xf numFmtId="0" fontId="66" fillId="0" borderId="78" xfId="11" applyFont="1" applyBorder="1" applyAlignment="1">
      <alignment horizontal="left" vertical="center" wrapText="1"/>
    </xf>
    <xf numFmtId="0" fontId="66" fillId="0" borderId="78" xfId="11" applyFont="1" applyBorder="1" applyAlignment="1">
      <alignment vertical="center"/>
    </xf>
    <xf numFmtId="0" fontId="124" fillId="0" borderId="78" xfId="0" applyFont="1" applyBorder="1" applyAlignment="1">
      <alignment horizontal="center" vertical="center"/>
    </xf>
    <xf numFmtId="0" fontId="124" fillId="0" borderId="78" xfId="0" applyFont="1" applyBorder="1" applyAlignment="1">
      <alignment vertical="center"/>
    </xf>
    <xf numFmtId="0" fontId="66" fillId="0" borderId="78" xfId="1" applyFont="1" applyBorder="1" applyAlignment="1">
      <alignment horizontal="center" vertical="center"/>
    </xf>
    <xf numFmtId="0" fontId="66" fillId="0" borderId="78" xfId="16" applyFont="1" applyBorder="1" applyAlignment="1">
      <alignment horizontal="center" vertical="center"/>
    </xf>
    <xf numFmtId="0" fontId="134" fillId="0" borderId="78" xfId="0" applyFont="1" applyBorder="1" applyAlignment="1">
      <alignment vertical="center" wrapText="1"/>
    </xf>
    <xf numFmtId="0" fontId="76" fillId="30" borderId="78" xfId="0" applyFont="1" applyFill="1" applyBorder="1" applyAlignment="1">
      <alignment horizontal="center" vertical="center" wrapText="1"/>
    </xf>
    <xf numFmtId="0" fontId="76" fillId="30" borderId="78" xfId="0" applyFont="1" applyFill="1" applyBorder="1" applyAlignment="1">
      <alignment horizontal="center" vertical="center"/>
    </xf>
    <xf numFmtId="0" fontId="138" fillId="0" borderId="8" xfId="0" applyFont="1" applyBorder="1" applyAlignment="1">
      <alignment horizontal="center" vertical="center"/>
    </xf>
    <xf numFmtId="0" fontId="138" fillId="0" borderId="10" xfId="0" applyFont="1" applyBorder="1" applyAlignment="1">
      <alignment horizontal="center" vertical="center"/>
    </xf>
    <xf numFmtId="0" fontId="138" fillId="0" borderId="84" xfId="11" applyFont="1" applyBorder="1" applyAlignment="1">
      <alignment horizontal="center" vertical="center" wrapText="1"/>
    </xf>
    <xf numFmtId="0" fontId="138" fillId="0" borderId="84" xfId="11" applyFont="1" applyBorder="1" applyAlignment="1">
      <alignment vertical="center" wrapText="1"/>
    </xf>
    <xf numFmtId="0" fontId="138" fillId="0" borderId="94" xfId="11" applyFont="1" applyBorder="1" applyAlignment="1">
      <alignment vertical="center" wrapText="1"/>
    </xf>
    <xf numFmtId="0" fontId="138" fillId="0" borderId="95" xfId="11" applyFont="1" applyBorder="1" applyAlignment="1">
      <alignment vertical="center" wrapText="1"/>
    </xf>
    <xf numFmtId="0" fontId="138" fillId="18" borderId="85" xfId="11" applyFont="1" applyFill="1" applyBorder="1" applyAlignment="1">
      <alignment horizontal="center" vertical="center" wrapText="1"/>
    </xf>
    <xf numFmtId="0" fontId="138" fillId="18" borderId="84" xfId="11" applyFont="1" applyFill="1" applyBorder="1" applyAlignment="1">
      <alignment vertical="center" wrapText="1"/>
    </xf>
    <xf numFmtId="0" fontId="138" fillId="19" borderId="84" xfId="11" applyFont="1" applyFill="1" applyBorder="1" applyAlignment="1">
      <alignment vertical="center" wrapText="1"/>
    </xf>
    <xf numFmtId="0" fontId="138" fillId="0" borderId="87" xfId="11" applyFont="1" applyBorder="1" applyAlignment="1">
      <alignment vertical="center" wrapText="1"/>
    </xf>
    <xf numFmtId="0" fontId="133" fillId="0" borderId="87" xfId="11" applyFont="1" applyBorder="1" applyAlignment="1">
      <alignment horizontal="left" vertical="center" wrapText="1"/>
    </xf>
    <xf numFmtId="0" fontId="138" fillId="0" borderId="87" xfId="11" applyFont="1" applyBorder="1" applyAlignment="1">
      <alignment horizontal="center" vertical="center" wrapText="1"/>
    </xf>
    <xf numFmtId="0" fontId="138" fillId="18" borderId="87" xfId="11" applyFont="1" applyFill="1" applyBorder="1" applyAlignment="1">
      <alignment horizontal="center" vertical="center" wrapText="1"/>
    </xf>
    <xf numFmtId="0" fontId="138" fillId="18" borderId="86" xfId="11" applyFont="1" applyFill="1" applyBorder="1" applyAlignment="1">
      <alignment horizontal="center" vertical="center" wrapText="1"/>
    </xf>
    <xf numFmtId="0" fontId="138" fillId="26" borderId="86" xfId="11" applyFont="1" applyFill="1" applyBorder="1" applyAlignment="1">
      <alignment horizontal="center" vertical="center" wrapText="1"/>
    </xf>
    <xf numFmtId="0" fontId="138" fillId="26" borderId="84" xfId="11" applyFont="1" applyFill="1" applyBorder="1" applyAlignment="1">
      <alignment vertical="center" wrapText="1"/>
    </xf>
    <xf numFmtId="0" fontId="138" fillId="26" borderId="84" xfId="11" applyFont="1" applyFill="1" applyBorder="1" applyAlignment="1">
      <alignment horizontal="center" vertical="center" wrapText="1"/>
    </xf>
    <xf numFmtId="0" fontId="138" fillId="0" borderId="92" xfId="11" applyFont="1" applyBorder="1" applyAlignment="1">
      <alignment vertical="center" wrapText="1"/>
    </xf>
    <xf numFmtId="0" fontId="138" fillId="0" borderId="93" xfId="11" applyFont="1" applyBorder="1" applyAlignment="1">
      <alignment vertical="center" wrapText="1"/>
    </xf>
    <xf numFmtId="166" fontId="138" fillId="0" borderId="87" xfId="11" applyNumberFormat="1" applyFont="1" applyBorder="1" applyAlignment="1">
      <alignment horizontal="center" vertical="center" wrapText="1"/>
    </xf>
    <xf numFmtId="0" fontId="138" fillId="0" borderId="96" xfId="11" applyFont="1" applyBorder="1" applyAlignment="1">
      <alignment vertical="center" wrapText="1"/>
    </xf>
    <xf numFmtId="0" fontId="138" fillId="0" borderId="97" xfId="11" applyFont="1" applyBorder="1" applyAlignment="1">
      <alignment vertical="center" wrapText="1"/>
    </xf>
    <xf numFmtId="0" fontId="138" fillId="19" borderId="99" xfId="11" applyFont="1" applyFill="1" applyBorder="1" applyAlignment="1">
      <alignment vertical="center" wrapText="1"/>
    </xf>
    <xf numFmtId="0" fontId="138" fillId="0" borderId="99" xfId="11" applyFont="1" applyBorder="1" applyAlignment="1">
      <alignment vertical="center" wrapText="1"/>
    </xf>
    <xf numFmtId="0" fontId="93" fillId="2" borderId="6" xfId="0" applyFont="1" applyFill="1" applyBorder="1" applyAlignment="1">
      <alignment horizontal="center" vertical="center" textRotation="90" wrapText="1"/>
    </xf>
    <xf numFmtId="0" fontId="95" fillId="0" borderId="0" xfId="0" applyFont="1" applyAlignment="1">
      <alignment vertical="top"/>
    </xf>
    <xf numFmtId="0" fontId="96" fillId="2" borderId="6" xfId="0" applyFont="1" applyFill="1" applyBorder="1" applyAlignment="1">
      <alignment horizontal="center" vertical="center" textRotation="90"/>
    </xf>
    <xf numFmtId="0" fontId="93" fillId="2" borderId="6" xfId="0" applyFont="1" applyFill="1" applyBorder="1" applyAlignment="1">
      <alignment horizontal="center" vertical="center" wrapText="1"/>
    </xf>
    <xf numFmtId="0" fontId="97" fillId="2" borderId="6" xfId="0" applyFont="1" applyFill="1" applyBorder="1" applyAlignment="1">
      <alignment horizontal="center" vertical="center" wrapText="1"/>
    </xf>
    <xf numFmtId="0" fontId="93" fillId="2" borderId="6" xfId="0" applyFont="1" applyFill="1" applyBorder="1" applyAlignment="1">
      <alignment horizontal="center" vertical="center"/>
    </xf>
    <xf numFmtId="0" fontId="93" fillId="2" borderId="1" xfId="0" applyFont="1" applyFill="1" applyBorder="1" applyAlignment="1">
      <alignment horizontal="center" vertical="center" wrapText="1"/>
    </xf>
    <xf numFmtId="0" fontId="95" fillId="0" borderId="0" xfId="0" applyFont="1" applyAlignment="1">
      <alignment horizontal="center" vertical="center"/>
    </xf>
    <xf numFmtId="0" fontId="108" fillId="0" borderId="9" xfId="7" applyFont="1" applyBorder="1" applyAlignment="1">
      <alignment horizontal="left" vertical="center" wrapText="1"/>
    </xf>
    <xf numFmtId="0" fontId="95" fillId="0" borderId="6" xfId="0" applyFont="1" applyBorder="1" applyAlignment="1" applyProtection="1">
      <alignment vertical="center" wrapText="1"/>
      <protection locked="0"/>
    </xf>
    <xf numFmtId="14" fontId="111" fillId="0" borderId="78" xfId="0" applyNumberFormat="1" applyFont="1" applyBorder="1" applyAlignment="1">
      <alignment vertical="center" wrapText="1"/>
    </xf>
    <xf numFmtId="0" fontId="100" fillId="0" borderId="8" xfId="0" applyFont="1" applyBorder="1" applyAlignment="1">
      <alignment vertical="center" wrapText="1"/>
    </xf>
    <xf numFmtId="0" fontId="100" fillId="0" borderId="6" xfId="7" applyFont="1" applyBorder="1" applyAlignment="1">
      <alignment horizontal="left" vertical="center" wrapText="1"/>
    </xf>
    <xf numFmtId="0" fontId="100" fillId="0" borderId="6" xfId="7" applyFont="1" applyBorder="1" applyAlignment="1">
      <alignment vertical="center" wrapText="1"/>
    </xf>
    <xf numFmtId="0" fontId="100" fillId="0" borderId="6" xfId="0" applyFont="1" applyBorder="1" applyAlignment="1">
      <alignment horizontal="center" vertical="center"/>
    </xf>
    <xf numFmtId="0" fontId="100" fillId="0" borderId="6" xfId="0" applyFont="1" applyBorder="1" applyAlignment="1">
      <alignment vertical="center" wrapText="1"/>
    </xf>
    <xf numFmtId="0" fontId="100" fillId="0" borderId="10" xfId="0" applyFont="1" applyBorder="1" applyAlignment="1">
      <alignment vertical="center" wrapText="1"/>
    </xf>
    <xf numFmtId="0" fontId="100" fillId="41" borderId="6" xfId="7" applyFont="1" applyFill="1" applyBorder="1" applyAlignment="1">
      <alignment horizontal="left" vertical="center" wrapText="1"/>
    </xf>
    <xf numFmtId="0" fontId="100" fillId="0" borderId="6" xfId="7" applyFont="1" applyBorder="1" applyAlignment="1">
      <alignment horizontal="center" vertical="center" wrapText="1"/>
    </xf>
    <xf numFmtId="0" fontId="121" fillId="0" borderId="86" xfId="11" applyFont="1" applyBorder="1" applyAlignment="1">
      <alignment horizontal="left" vertical="center" wrapText="1"/>
    </xf>
    <xf numFmtId="0" fontId="100" fillId="18" borderId="87" xfId="11" applyFont="1" applyFill="1" applyBorder="1" applyAlignment="1">
      <alignment horizontal="center" vertical="center" wrapText="1"/>
    </xf>
    <xf numFmtId="0" fontId="100" fillId="18" borderId="86" xfId="11" applyFont="1" applyFill="1" applyBorder="1" applyAlignment="1">
      <alignment horizontal="center" vertical="center" wrapText="1"/>
    </xf>
    <xf numFmtId="0" fontId="100" fillId="26" borderId="86" xfId="11" applyFont="1" applyFill="1" applyBorder="1" applyAlignment="1">
      <alignment horizontal="center" vertical="center" wrapText="1"/>
    </xf>
    <xf numFmtId="0" fontId="100" fillId="26" borderId="84" xfId="11" applyFont="1" applyFill="1" applyBorder="1" applyAlignment="1">
      <alignment vertical="center" wrapText="1"/>
    </xf>
    <xf numFmtId="0" fontId="100" fillId="26" borderId="84" xfId="11" applyFont="1" applyFill="1" applyBorder="1" applyAlignment="1">
      <alignment horizontal="center" vertical="center" wrapText="1"/>
    </xf>
    <xf numFmtId="0" fontId="100" fillId="0" borderId="87" xfId="11" applyFont="1" applyBorder="1" applyAlignment="1">
      <alignment horizontal="center" vertical="center" wrapText="1"/>
    </xf>
    <xf numFmtId="166" fontId="100" fillId="0" borderId="87" xfId="11" applyNumberFormat="1" applyFont="1" applyBorder="1" applyAlignment="1">
      <alignment horizontal="center" vertical="center" wrapText="1"/>
    </xf>
    <xf numFmtId="0" fontId="100" fillId="0" borderId="85" xfId="11" applyFont="1" applyBorder="1" applyAlignment="1">
      <alignment vertical="center" wrapText="1"/>
    </xf>
    <xf numFmtId="0" fontId="121" fillId="0" borderId="136" xfId="11" applyFont="1" applyBorder="1" applyAlignment="1">
      <alignment vertical="top" wrapText="1"/>
    </xf>
    <xf numFmtId="0" fontId="121" fillId="19" borderId="98" xfId="16" applyFont="1" applyFill="1" applyBorder="1" applyAlignment="1">
      <alignment vertical="center" wrapText="1"/>
    </xf>
    <xf numFmtId="0" fontId="121" fillId="0" borderId="84" xfId="16" applyFont="1" applyBorder="1" applyAlignment="1">
      <alignment horizontal="left" vertical="center" wrapText="1"/>
    </xf>
    <xf numFmtId="0" fontId="98" fillId="0" borderId="78" xfId="0" applyFont="1" applyBorder="1" applyAlignment="1">
      <alignment wrapText="1"/>
    </xf>
    <xf numFmtId="0" fontId="98" fillId="0" borderId="101" xfId="0" applyFont="1" applyBorder="1" applyAlignment="1">
      <alignment wrapText="1"/>
    </xf>
    <xf numFmtId="0" fontId="142" fillId="0" borderId="9" xfId="7" applyFont="1" applyBorder="1" applyAlignment="1">
      <alignment horizontal="left" vertical="center" wrapText="1"/>
    </xf>
    <xf numFmtId="0" fontId="144" fillId="0" borderId="87" xfId="11" applyFont="1" applyBorder="1" applyAlignment="1">
      <alignment horizontal="left" vertical="center" wrapText="1"/>
    </xf>
    <xf numFmtId="0" fontId="145" fillId="0" borderId="9" xfId="9" applyFont="1" applyBorder="1" applyAlignment="1">
      <alignment horizontal="left" vertical="center" wrapText="1"/>
    </xf>
    <xf numFmtId="0" fontId="144" fillId="0" borderId="136" xfId="11" applyFont="1" applyBorder="1" applyAlignment="1">
      <alignment vertical="center" wrapText="1"/>
    </xf>
    <xf numFmtId="0" fontId="148" fillId="0" borderId="87" xfId="11" applyFont="1" applyBorder="1" applyAlignment="1">
      <alignment horizontal="left" vertical="center" wrapText="1"/>
    </xf>
    <xf numFmtId="0" fontId="147" fillId="0" borderId="93" xfId="11" applyFont="1" applyBorder="1" applyAlignment="1">
      <alignment vertical="center" wrapText="1"/>
    </xf>
    <xf numFmtId="0" fontId="147" fillId="0" borderId="136" xfId="11" applyFont="1" applyBorder="1" applyAlignment="1">
      <alignment vertical="center" wrapText="1"/>
    </xf>
    <xf numFmtId="0" fontId="151" fillId="2" borderId="6" xfId="0" applyFont="1" applyFill="1" applyBorder="1" applyAlignment="1">
      <alignment horizontal="center" vertical="center" wrapText="1"/>
    </xf>
    <xf numFmtId="14" fontId="153" fillId="0" borderId="78" xfId="0" applyNumberFormat="1" applyFont="1" applyBorder="1" applyAlignment="1">
      <alignment vertical="center" wrapText="1"/>
    </xf>
    <xf numFmtId="0" fontId="8" fillId="0" borderId="6" xfId="12" applyFont="1" applyBorder="1" applyAlignment="1">
      <alignment vertical="center" wrapText="1"/>
    </xf>
    <xf numFmtId="0" fontId="155" fillId="0" borderId="6" xfId="12" applyFont="1" applyBorder="1" applyAlignment="1">
      <alignment vertical="center" wrapText="1"/>
    </xf>
    <xf numFmtId="0" fontId="8" fillId="42" borderId="9" xfId="7" applyFont="1" applyFill="1" applyBorder="1" applyAlignment="1">
      <alignment horizontal="center" vertical="center" wrapText="1"/>
    </xf>
    <xf numFmtId="0" fontId="8" fillId="42" borderId="9" xfId="7" applyFont="1" applyFill="1" applyBorder="1" applyAlignment="1">
      <alignment horizontal="left" vertical="top" wrapText="1"/>
    </xf>
    <xf numFmtId="0" fontId="8" fillId="0" borderId="40" xfId="7" applyFont="1" applyAlignment="1">
      <alignment horizontal="left" vertical="top" wrapText="1"/>
    </xf>
    <xf numFmtId="0" fontId="144" fillId="0" borderId="87" xfId="11" applyFont="1" applyBorder="1" applyAlignment="1">
      <alignment horizontal="left" vertical="top" wrapText="1"/>
    </xf>
    <xf numFmtId="0" fontId="156" fillId="0" borderId="84" xfId="11" applyFont="1" applyBorder="1" applyAlignment="1">
      <alignment horizontal="center" vertical="center" wrapText="1"/>
    </xf>
    <xf numFmtId="0" fontId="156" fillId="0" borderId="98" xfId="11" applyFont="1" applyBorder="1" applyAlignment="1">
      <alignment vertical="center" wrapText="1"/>
    </xf>
    <xf numFmtId="0" fontId="161" fillId="0" borderId="137" xfId="0" applyFont="1" applyBorder="1" applyAlignment="1">
      <alignment vertical="center" wrapText="1"/>
    </xf>
    <xf numFmtId="0" fontId="159" fillId="0" borderId="98" xfId="16" applyFont="1" applyBorder="1" applyAlignment="1">
      <alignment vertical="center" wrapText="1"/>
    </xf>
    <xf numFmtId="0" fontId="125" fillId="0" borderId="40" xfId="11" applyFont="1" applyAlignment="1">
      <alignment vertical="top" wrapText="1"/>
    </xf>
    <xf numFmtId="0" fontId="126" fillId="23" borderId="133" xfId="11" applyFont="1" applyFill="1" applyBorder="1" applyAlignment="1">
      <alignment horizontal="center" vertical="top" wrapText="1"/>
    </xf>
    <xf numFmtId="0" fontId="157" fillId="0" borderId="136" xfId="16" applyFont="1" applyBorder="1" applyAlignment="1">
      <alignment horizontal="left" vertical="top" wrapText="1"/>
    </xf>
    <xf numFmtId="0" fontId="157" fillId="0" borderId="87" xfId="16" applyFont="1" applyBorder="1" applyAlignment="1">
      <alignment horizontal="left" vertical="top" wrapText="1"/>
    </xf>
    <xf numFmtId="0" fontId="159" fillId="0" borderId="87" xfId="16" applyFont="1" applyBorder="1" applyAlignment="1">
      <alignment horizontal="left" vertical="top" wrapText="1"/>
    </xf>
    <xf numFmtId="0" fontId="163" fillId="0" borderId="136" xfId="11" applyFont="1" applyBorder="1" applyAlignment="1">
      <alignment vertical="center" wrapText="1"/>
    </xf>
    <xf numFmtId="0" fontId="144" fillId="0" borderId="40" xfId="11" applyFont="1" applyAlignment="1">
      <alignment vertical="center" wrapText="1"/>
    </xf>
    <xf numFmtId="0" fontId="144" fillId="41" borderId="87" xfId="11" applyFont="1" applyFill="1" applyBorder="1" applyAlignment="1">
      <alignment horizontal="left" vertical="center" wrapText="1"/>
    </xf>
    <xf numFmtId="0" fontId="93" fillId="2" borderId="12" xfId="0" applyFont="1" applyFill="1" applyBorder="1" applyAlignment="1">
      <alignment horizontal="center" vertical="center"/>
    </xf>
    <xf numFmtId="0" fontId="93" fillId="2" borderId="13" xfId="0" applyFont="1" applyFill="1" applyBorder="1" applyAlignment="1">
      <alignment horizontal="center" vertical="center"/>
    </xf>
    <xf numFmtId="0" fontId="93" fillId="2" borderId="3" xfId="0" applyFont="1" applyFill="1" applyBorder="1" applyAlignment="1">
      <alignment horizontal="center" vertical="center"/>
    </xf>
    <xf numFmtId="0" fontId="93" fillId="2" borderId="5" xfId="0" applyFont="1" applyFill="1" applyBorder="1" applyAlignment="1">
      <alignment horizontal="center" vertical="center"/>
    </xf>
    <xf numFmtId="0" fontId="93" fillId="2" borderId="5" xfId="0" applyFont="1" applyFill="1" applyBorder="1" applyAlignment="1">
      <alignment horizontal="center" vertical="top"/>
    </xf>
    <xf numFmtId="0" fontId="93" fillId="2" borderId="4" xfId="0" applyFont="1" applyFill="1" applyBorder="1" applyAlignment="1">
      <alignment horizontal="center" vertical="center"/>
    </xf>
    <xf numFmtId="0" fontId="93" fillId="2" borderId="3" xfId="0" applyFont="1" applyFill="1" applyBorder="1" applyAlignment="1">
      <alignment horizontal="center" vertical="center" wrapText="1"/>
    </xf>
    <xf numFmtId="0" fontId="93" fillId="2" borderId="5" xfId="0" applyFont="1" applyFill="1" applyBorder="1" applyAlignment="1">
      <alignment horizontal="center" vertical="center" wrapText="1"/>
    </xf>
    <xf numFmtId="0" fontId="93" fillId="2" borderId="4" xfId="0" applyFont="1" applyFill="1" applyBorder="1" applyAlignment="1">
      <alignment horizontal="center" vertical="center" wrapText="1"/>
    </xf>
    <xf numFmtId="0" fontId="93" fillId="2" borderId="6" xfId="0" applyFont="1" applyFill="1" applyBorder="1" applyAlignment="1">
      <alignment horizontal="center" vertical="center" textRotation="90" wrapText="1"/>
    </xf>
    <xf numFmtId="0" fontId="93" fillId="2" borderId="8" xfId="0" applyFont="1" applyFill="1" applyBorder="1" applyAlignment="1">
      <alignment horizontal="center" vertical="center" textRotation="90" wrapText="1"/>
    </xf>
    <xf numFmtId="166" fontId="108" fillId="0" borderId="6" xfId="7" applyNumberFormat="1" applyFont="1" applyBorder="1" applyAlignment="1">
      <alignment horizontal="center" vertical="center" wrapText="1"/>
    </xf>
    <xf numFmtId="166" fontId="108" fillId="0" borderId="8" xfId="7" applyNumberFormat="1" applyFont="1" applyBorder="1" applyAlignment="1">
      <alignment horizontal="center" vertical="center" wrapText="1"/>
    </xf>
    <xf numFmtId="0" fontId="95" fillId="0" borderId="1" xfId="0" applyFont="1" applyBorder="1" applyAlignment="1">
      <alignment horizontal="center" vertical="center" wrapText="1"/>
    </xf>
    <xf numFmtId="0" fontId="95" fillId="0" borderId="12" xfId="0" applyFont="1" applyBorder="1" applyAlignment="1">
      <alignment horizontal="center" vertical="center" wrapText="1"/>
    </xf>
    <xf numFmtId="0" fontId="8" fillId="0" borderId="6" xfId="7" applyFont="1" applyBorder="1" applyAlignment="1">
      <alignment horizontal="center" vertical="center" wrapText="1"/>
    </xf>
    <xf numFmtId="0" fontId="8" fillId="0" borderId="10" xfId="7" applyFont="1" applyBorder="1" applyAlignment="1">
      <alignment horizontal="center" vertical="center" wrapText="1"/>
    </xf>
    <xf numFmtId="0" fontId="8" fillId="0" borderId="8" xfId="7" applyFont="1" applyBorder="1" applyAlignment="1">
      <alignment horizontal="center" vertical="center" wrapText="1"/>
    </xf>
    <xf numFmtId="0" fontId="95" fillId="0" borderId="6" xfId="0" applyFont="1" applyBorder="1" applyAlignment="1">
      <alignment horizontal="center" vertical="center" wrapText="1"/>
    </xf>
    <xf numFmtId="0" fontId="95" fillId="0" borderId="10" xfId="0" applyFont="1" applyBorder="1" applyAlignment="1">
      <alignment horizontal="center" vertical="center" wrapText="1"/>
    </xf>
    <xf numFmtId="0" fontId="95" fillId="0" borderId="8" xfId="0" applyFont="1" applyBorder="1" applyAlignment="1">
      <alignment horizontal="center" vertical="center" wrapText="1"/>
    </xf>
    <xf numFmtId="166" fontId="8" fillId="0" borderId="6" xfId="7" applyNumberFormat="1" applyFont="1" applyBorder="1" applyAlignment="1">
      <alignment horizontal="center" vertical="center"/>
    </xf>
    <xf numFmtId="166" fontId="8" fillId="0" borderId="10" xfId="7" applyNumberFormat="1" applyFont="1" applyBorder="1" applyAlignment="1">
      <alignment horizontal="center" vertical="center"/>
    </xf>
    <xf numFmtId="166" fontId="8" fillId="0" borderId="8" xfId="7" applyNumberFormat="1" applyFont="1" applyBorder="1" applyAlignment="1">
      <alignment horizontal="center" vertical="center"/>
    </xf>
    <xf numFmtId="0" fontId="95" fillId="0" borderId="1" xfId="0" applyFont="1" applyBorder="1" applyAlignment="1">
      <alignment horizontal="left" vertical="center" wrapText="1"/>
    </xf>
    <xf numFmtId="0" fontId="95" fillId="0" borderId="7" xfId="0" applyFont="1" applyBorder="1" applyAlignment="1">
      <alignment horizontal="left" vertical="center" wrapText="1"/>
    </xf>
    <xf numFmtId="0" fontId="95" fillId="0" borderId="12" xfId="0" applyFont="1" applyBorder="1" applyAlignment="1">
      <alignment horizontal="left" vertical="center" wrapText="1"/>
    </xf>
    <xf numFmtId="0" fontId="95" fillId="0" borderId="7" xfId="0" applyFont="1" applyBorder="1" applyAlignment="1">
      <alignment horizontal="center" vertical="center" wrapText="1"/>
    </xf>
    <xf numFmtId="0" fontId="21" fillId="5" borderId="40" xfId="0" applyFont="1" applyFill="1" applyBorder="1" applyAlignment="1">
      <alignment horizontal="center" wrapText="1" readingOrder="1"/>
    </xf>
    <xf numFmtId="0" fontId="7" fillId="0" borderId="44" xfId="0" applyFont="1" applyBorder="1"/>
    <xf numFmtId="0" fontId="7" fillId="0" borderId="40" xfId="0" applyFont="1" applyBorder="1"/>
    <xf numFmtId="0" fontId="21" fillId="5" borderId="55" xfId="0" applyFont="1" applyFill="1" applyBorder="1" applyAlignment="1">
      <alignment horizontal="center" wrapText="1" readingOrder="1"/>
    </xf>
    <xf numFmtId="0" fontId="7" fillId="0" borderId="55" xfId="0" applyFont="1" applyBorder="1"/>
    <xf numFmtId="0" fontId="7" fillId="0" borderId="56" xfId="0" applyFont="1" applyBorder="1"/>
    <xf numFmtId="0" fontId="21" fillId="8" borderId="54" xfId="0" applyFont="1" applyFill="1" applyBorder="1" applyAlignment="1">
      <alignment horizontal="center" vertical="center" wrapText="1" readingOrder="1"/>
    </xf>
    <xf numFmtId="0" fontId="7" fillId="0" borderId="47" xfId="0" applyFont="1" applyBorder="1"/>
    <xf numFmtId="0" fontId="21" fillId="8" borderId="55" xfId="0" applyFont="1" applyFill="1" applyBorder="1" applyAlignment="1">
      <alignment horizontal="center" vertical="center" wrapText="1" readingOrder="1"/>
    </xf>
    <xf numFmtId="0" fontId="21" fillId="9" borderId="55" xfId="0" applyFont="1" applyFill="1" applyBorder="1" applyAlignment="1">
      <alignment horizontal="center" wrapText="1" readingOrder="1"/>
    </xf>
    <xf numFmtId="0" fontId="21" fillId="10" borderId="40" xfId="0" applyFont="1" applyFill="1" applyBorder="1" applyAlignment="1">
      <alignment horizontal="center" wrapText="1" readingOrder="1"/>
    </xf>
    <xf numFmtId="0" fontId="21" fillId="5" borderId="47" xfId="0" applyFont="1" applyFill="1" applyBorder="1" applyAlignment="1">
      <alignment horizontal="center" wrapText="1" readingOrder="1"/>
    </xf>
    <xf numFmtId="0" fontId="21" fillId="8" borderId="47" xfId="0" applyFont="1" applyFill="1" applyBorder="1" applyAlignment="1">
      <alignment horizontal="center" vertical="center" wrapText="1" readingOrder="1"/>
    </xf>
    <xf numFmtId="0" fontId="21" fillId="8" borderId="40" xfId="0" applyFont="1" applyFill="1" applyBorder="1" applyAlignment="1">
      <alignment horizontal="center" vertical="center" wrapText="1" readingOrder="1"/>
    </xf>
    <xf numFmtId="0" fontId="21" fillId="9" borderId="47" xfId="0" applyFont="1" applyFill="1" applyBorder="1" applyAlignment="1">
      <alignment horizontal="center" wrapText="1" readingOrder="1"/>
    </xf>
    <xf numFmtId="0" fontId="21" fillId="9" borderId="40" xfId="0" applyFont="1" applyFill="1" applyBorder="1" applyAlignment="1">
      <alignment horizontal="center" wrapText="1" readingOrder="1"/>
    </xf>
    <xf numFmtId="0" fontId="21" fillId="5" borderId="54" xfId="0" applyFont="1" applyFill="1" applyBorder="1" applyAlignment="1">
      <alignment horizontal="center" wrapText="1" readingOrder="1"/>
    </xf>
    <xf numFmtId="0" fontId="20" fillId="0" borderId="54" xfId="0" applyFont="1" applyBorder="1" applyAlignment="1">
      <alignment horizontal="center" vertical="center" wrapText="1"/>
    </xf>
    <xf numFmtId="0" fontId="0" fillId="0" borderId="0" xfId="0"/>
    <xf numFmtId="0" fontId="7" fillId="0" borderId="48" xfId="0" applyFont="1" applyBorder="1"/>
    <xf numFmtId="0" fontId="7" fillId="0" borderId="50" xfId="0" applyFont="1" applyBorder="1"/>
    <xf numFmtId="0" fontId="7" fillId="0" borderId="49" xfId="0" applyFont="1" applyBorder="1"/>
    <xf numFmtId="0" fontId="21" fillId="9" borderId="54" xfId="0" applyFont="1" applyFill="1" applyBorder="1" applyAlignment="1">
      <alignment horizontal="center" wrapText="1" readingOrder="1"/>
    </xf>
    <xf numFmtId="0" fontId="21" fillId="10" borderId="47" xfId="0" applyFont="1" applyFill="1" applyBorder="1" applyAlignment="1">
      <alignment horizontal="center" wrapText="1" readingOrder="1"/>
    </xf>
    <xf numFmtId="0" fontId="6" fillId="0" borderId="0" xfId="0" applyFont="1" applyAlignment="1">
      <alignment horizontal="center" vertical="center" wrapText="1"/>
    </xf>
    <xf numFmtId="0" fontId="19" fillId="7" borderId="40" xfId="0" applyFont="1" applyFill="1" applyBorder="1" applyAlignment="1">
      <alignment horizontal="center" vertical="center" wrapText="1" readingOrder="1"/>
    </xf>
    <xf numFmtId="0" fontId="19" fillId="7" borderId="40" xfId="0" applyFont="1" applyFill="1" applyBorder="1" applyAlignment="1">
      <alignment horizontal="center" vertical="center" textRotation="90" wrapText="1" readingOrder="1"/>
    </xf>
    <xf numFmtId="0" fontId="21" fillId="10" borderId="55" xfId="0" applyFont="1" applyFill="1" applyBorder="1" applyAlignment="1">
      <alignment horizontal="center" wrapText="1" readingOrder="1"/>
    </xf>
    <xf numFmtId="0" fontId="21" fillId="10" borderId="54" xfId="0" applyFont="1" applyFill="1" applyBorder="1" applyAlignment="1">
      <alignment horizontal="center" wrapText="1" readingOrder="1"/>
    </xf>
    <xf numFmtId="0" fontId="22" fillId="9" borderId="41" xfId="0" applyFont="1" applyFill="1" applyBorder="1" applyAlignment="1">
      <alignment horizontal="center" vertical="center" wrapText="1" readingOrder="1"/>
    </xf>
    <xf numFmtId="0" fontId="7" fillId="0" borderId="42" xfId="0" applyFont="1" applyBorder="1"/>
    <xf numFmtId="0" fontId="7" fillId="0" borderId="43" xfId="0" applyFont="1" applyBorder="1"/>
    <xf numFmtId="0" fontId="7" fillId="0" borderId="45" xfId="0" applyFont="1" applyBorder="1"/>
    <xf numFmtId="0" fontId="7" fillId="0" borderId="46" xfId="0" applyFont="1" applyBorder="1"/>
    <xf numFmtId="0" fontId="7" fillId="0" borderId="51" xfId="0" applyFont="1" applyBorder="1"/>
    <xf numFmtId="0" fontId="7" fillId="0" borderId="52" xfId="0" applyFont="1" applyBorder="1"/>
    <xf numFmtId="0" fontId="7" fillId="0" borderId="53" xfId="0" applyFont="1" applyBorder="1"/>
    <xf numFmtId="0" fontId="22" fillId="10" borderId="41" xfId="0" applyFont="1" applyFill="1" applyBorder="1" applyAlignment="1">
      <alignment horizontal="center" vertical="center" wrapText="1" readingOrder="1"/>
    </xf>
    <xf numFmtId="0" fontId="22" fillId="8" borderId="41" xfId="0" applyFont="1" applyFill="1" applyBorder="1" applyAlignment="1">
      <alignment horizontal="center" vertical="center" wrapText="1" readingOrder="1"/>
    </xf>
    <xf numFmtId="0" fontId="22" fillId="5" borderId="41" xfId="0" applyFont="1" applyFill="1" applyBorder="1" applyAlignment="1">
      <alignment horizontal="center" vertical="center" wrapText="1" readingOrder="1"/>
    </xf>
    <xf numFmtId="0" fontId="24" fillId="0" borderId="0" xfId="0" applyFont="1" applyAlignment="1">
      <alignment horizontal="center" vertical="center" wrapText="1"/>
    </xf>
    <xf numFmtId="0" fontId="25" fillId="0" borderId="54" xfId="0" applyFont="1" applyBorder="1" applyAlignment="1">
      <alignment horizontal="center" vertical="center" wrapText="1"/>
    </xf>
    <xf numFmtId="0" fontId="27" fillId="8" borderId="41" xfId="0" applyFont="1" applyFill="1" applyBorder="1" applyAlignment="1">
      <alignment horizontal="center" vertical="center" wrapText="1" readingOrder="1"/>
    </xf>
    <xf numFmtId="0" fontId="27" fillId="5" borderId="41" xfId="0" applyFont="1" applyFill="1" applyBorder="1" applyAlignment="1">
      <alignment horizontal="center" vertical="center" wrapText="1" readingOrder="1"/>
    </xf>
    <xf numFmtId="0" fontId="27" fillId="9" borderId="41" xfId="0" applyFont="1" applyFill="1" applyBorder="1" applyAlignment="1">
      <alignment horizontal="center" vertical="center" wrapText="1" readingOrder="1"/>
    </xf>
    <xf numFmtId="0" fontId="27" fillId="10" borderId="41" xfId="0" applyFont="1" applyFill="1" applyBorder="1" applyAlignment="1">
      <alignment horizontal="center" vertical="center" wrapText="1" readingOrder="1"/>
    </xf>
    <xf numFmtId="0" fontId="20" fillId="0" borderId="54" xfId="7" applyFont="1" applyBorder="1" applyAlignment="1">
      <alignment horizontal="center" vertical="center" wrapText="1"/>
    </xf>
    <xf numFmtId="0" fontId="7" fillId="0" borderId="55" xfId="7" applyFont="1" applyBorder="1"/>
    <xf numFmtId="0" fontId="7" fillId="0" borderId="56" xfId="7" applyFont="1" applyBorder="1"/>
    <xf numFmtId="0" fontId="7" fillId="0" borderId="47" xfId="7" applyFont="1" applyBorder="1"/>
    <xf numFmtId="0" fontId="107" fillId="0" borderId="40" xfId="7"/>
    <xf numFmtId="0" fontId="7" fillId="0" borderId="44" xfId="7" applyFont="1" applyBorder="1"/>
    <xf numFmtId="0" fontId="7" fillId="0" borderId="48" xfId="7" applyFont="1" applyBorder="1"/>
    <xf numFmtId="0" fontId="7" fillId="0" borderId="50" xfId="7" applyFont="1" applyBorder="1"/>
    <xf numFmtId="0" fontId="7" fillId="0" borderId="49" xfId="7" applyFont="1" applyBorder="1"/>
    <xf numFmtId="0" fontId="21" fillId="8" borderId="47" xfId="7" applyFont="1" applyFill="1" applyBorder="1" applyAlignment="1">
      <alignment horizontal="center" vertical="center" wrapText="1" readingOrder="1"/>
    </xf>
    <xf numFmtId="0" fontId="7" fillId="0" borderId="40" xfId="7" applyFont="1"/>
    <xf numFmtId="0" fontId="21" fillId="8" borderId="40" xfId="7" applyFont="1" applyFill="1" applyAlignment="1">
      <alignment horizontal="center" vertical="center" wrapText="1" readingOrder="1"/>
    </xf>
    <xf numFmtId="0" fontId="21" fillId="9" borderId="47" xfId="7" applyFont="1" applyFill="1" applyBorder="1" applyAlignment="1">
      <alignment horizontal="center" wrapText="1" readingOrder="1"/>
    </xf>
    <xf numFmtId="0" fontId="21" fillId="9" borderId="40" xfId="7" applyFont="1" applyFill="1" applyAlignment="1">
      <alignment horizontal="center" wrapText="1" readingOrder="1"/>
    </xf>
    <xf numFmtId="0" fontId="21" fillId="10" borderId="47" xfId="7" applyFont="1" applyFill="1" applyBorder="1" applyAlignment="1">
      <alignment horizontal="center" wrapText="1" readingOrder="1"/>
    </xf>
    <xf numFmtId="0" fontId="21" fillId="10" borderId="40" xfId="7" applyFont="1" applyFill="1" applyAlignment="1">
      <alignment horizontal="center" wrapText="1" readingOrder="1"/>
    </xf>
    <xf numFmtId="0" fontId="21" fillId="5" borderId="47" xfId="7" applyFont="1" applyFill="1" applyBorder="1" applyAlignment="1">
      <alignment horizontal="center" wrapText="1" readingOrder="1"/>
    </xf>
    <xf numFmtId="0" fontId="21" fillId="5" borderId="40" xfId="7" applyFont="1" applyFill="1" applyAlignment="1">
      <alignment horizontal="center" wrapText="1" readingOrder="1"/>
    </xf>
    <xf numFmtId="0" fontId="21" fillId="9" borderId="55" xfId="7" applyFont="1" applyFill="1" applyBorder="1" applyAlignment="1">
      <alignment horizontal="center" wrapText="1" readingOrder="1"/>
    </xf>
    <xf numFmtId="0" fontId="21" fillId="5" borderId="54" xfId="7" applyFont="1" applyFill="1" applyBorder="1" applyAlignment="1">
      <alignment horizontal="center" wrapText="1" readingOrder="1"/>
    </xf>
    <xf numFmtId="0" fontId="21" fillId="5" borderId="55" xfId="7" applyFont="1" applyFill="1" applyBorder="1" applyAlignment="1">
      <alignment horizontal="center" wrapText="1" readingOrder="1"/>
    </xf>
    <xf numFmtId="0" fontId="21" fillId="8" borderId="54" xfId="7" applyFont="1" applyFill="1" applyBorder="1" applyAlignment="1">
      <alignment horizontal="center" vertical="center" wrapText="1" readingOrder="1"/>
    </xf>
    <xf numFmtId="0" fontId="21" fillId="8" borderId="55" xfId="7" applyFont="1" applyFill="1" applyBorder="1" applyAlignment="1">
      <alignment horizontal="center" vertical="center" wrapText="1" readingOrder="1"/>
    </xf>
    <xf numFmtId="0" fontId="21" fillId="10" borderId="54" xfId="7" applyFont="1" applyFill="1" applyBorder="1" applyAlignment="1">
      <alignment horizontal="center" wrapText="1" readingOrder="1"/>
    </xf>
    <xf numFmtId="0" fontId="21" fillId="10" borderId="55" xfId="7" applyFont="1" applyFill="1" applyBorder="1" applyAlignment="1">
      <alignment horizontal="center" wrapText="1" readingOrder="1"/>
    </xf>
    <xf numFmtId="0" fontId="21" fillId="9" borderId="54" xfId="7" applyFont="1" applyFill="1" applyBorder="1" applyAlignment="1">
      <alignment horizontal="center" wrapText="1" readingOrder="1"/>
    </xf>
    <xf numFmtId="0" fontId="22" fillId="10" borderId="41" xfId="7" applyFont="1" applyFill="1" applyBorder="1" applyAlignment="1">
      <alignment horizontal="center" vertical="center" wrapText="1" readingOrder="1"/>
    </xf>
    <xf numFmtId="0" fontId="7" fillId="0" borderId="42" xfId="7" applyFont="1" applyBorder="1"/>
    <xf numFmtId="0" fontId="7" fillId="0" borderId="43" xfId="7" applyFont="1" applyBorder="1"/>
    <xf numFmtId="0" fontId="7" fillId="0" borderId="45" xfId="7" applyFont="1" applyBorder="1"/>
    <xf numFmtId="0" fontId="7" fillId="0" borderId="46" xfId="7" applyFont="1" applyBorder="1"/>
    <xf numFmtId="0" fontId="7" fillId="0" borderId="51" xfId="7" applyFont="1" applyBorder="1"/>
    <xf numFmtId="0" fontId="7" fillId="0" borderId="52" xfId="7" applyFont="1" applyBorder="1"/>
    <xf numFmtId="0" fontId="7" fillId="0" borderId="53" xfId="7" applyFont="1" applyBorder="1"/>
    <xf numFmtId="0" fontId="22" fillId="5" borderId="41" xfId="7" applyFont="1" applyFill="1" applyBorder="1" applyAlignment="1">
      <alignment horizontal="center" vertical="center" wrapText="1" readingOrder="1"/>
    </xf>
    <xf numFmtId="0" fontId="22" fillId="8" borderId="41" xfId="7" applyFont="1" applyFill="1" applyBorder="1" applyAlignment="1">
      <alignment horizontal="center" vertical="center" wrapText="1" readingOrder="1"/>
    </xf>
    <xf numFmtId="0" fontId="22" fillId="9" borderId="41" xfId="7" applyFont="1" applyFill="1" applyBorder="1" applyAlignment="1">
      <alignment horizontal="center" vertical="center" wrapText="1" readingOrder="1"/>
    </xf>
    <xf numFmtId="0" fontId="6" fillId="0" borderId="40" xfId="7" applyFont="1" applyAlignment="1">
      <alignment horizontal="center" vertical="center" wrapText="1"/>
    </xf>
    <xf numFmtId="0" fontId="19" fillId="7" borderId="40" xfId="7" applyFont="1" applyFill="1" applyAlignment="1">
      <alignment horizontal="center" vertical="center" wrapText="1" readingOrder="1"/>
    </xf>
    <xf numFmtId="0" fontId="19" fillId="7" borderId="40" xfId="7" applyFont="1" applyFill="1" applyAlignment="1">
      <alignment horizontal="center" vertical="center" textRotation="90" wrapText="1" readingOrder="1"/>
    </xf>
    <xf numFmtId="0" fontId="25" fillId="0" borderId="54" xfId="8" applyFont="1" applyBorder="1" applyAlignment="1">
      <alignment horizontal="center" vertical="center" wrapText="1"/>
    </xf>
    <xf numFmtId="0" fontId="7" fillId="0" borderId="55" xfId="8" applyFont="1" applyBorder="1"/>
    <xf numFmtId="0" fontId="7" fillId="0" borderId="56" xfId="8" applyFont="1" applyBorder="1"/>
    <xf numFmtId="0" fontId="7" fillId="0" borderId="47" xfId="8" applyFont="1" applyBorder="1"/>
    <xf numFmtId="0" fontId="107" fillId="0" borderId="40" xfId="8"/>
    <xf numFmtId="0" fontId="7" fillId="0" borderId="44" xfId="8" applyFont="1" applyBorder="1"/>
    <xf numFmtId="0" fontId="7" fillId="0" borderId="48" xfId="8" applyFont="1" applyBorder="1"/>
    <xf numFmtId="0" fontId="7" fillId="0" borderId="50" xfId="8" applyFont="1" applyBorder="1"/>
    <xf numFmtId="0" fontId="7" fillId="0" borderId="49" xfId="8" applyFont="1" applyBorder="1"/>
    <xf numFmtId="0" fontId="24" fillId="0" borderId="40" xfId="8" applyFont="1" applyAlignment="1">
      <alignment horizontal="center" vertical="center" wrapText="1"/>
    </xf>
    <xf numFmtId="0" fontId="19" fillId="7" borderId="40" xfId="8" applyFont="1" applyFill="1" applyAlignment="1">
      <alignment horizontal="center" vertical="center" wrapText="1" readingOrder="1"/>
    </xf>
    <xf numFmtId="0" fontId="7" fillId="0" borderId="40" xfId="8" applyFont="1"/>
    <xf numFmtId="0" fontId="19" fillId="7" borderId="40" xfId="8" applyFont="1" applyFill="1" applyAlignment="1">
      <alignment horizontal="center" vertical="center" textRotation="90" wrapText="1" readingOrder="1"/>
    </xf>
    <xf numFmtId="0" fontId="27" fillId="9" borderId="41" xfId="8" applyFont="1" applyFill="1" applyBorder="1" applyAlignment="1">
      <alignment horizontal="center" vertical="center" wrapText="1" readingOrder="1"/>
    </xf>
    <xf numFmtId="0" fontId="7" fillId="0" borderId="42" xfId="8" applyFont="1" applyBorder="1"/>
    <xf numFmtId="0" fontId="7" fillId="0" borderId="43" xfId="8" applyFont="1" applyBorder="1"/>
    <xf numFmtId="0" fontId="7" fillId="0" borderId="45" xfId="8" applyFont="1" applyBorder="1"/>
    <xf numFmtId="0" fontId="7" fillId="0" borderId="46" xfId="8" applyFont="1" applyBorder="1"/>
    <xf numFmtId="0" fontId="7" fillId="0" borderId="51" xfId="8" applyFont="1" applyBorder="1"/>
    <xf numFmtId="0" fontId="7" fillId="0" borderId="52" xfId="8" applyFont="1" applyBorder="1"/>
    <xf numFmtId="0" fontId="7" fillId="0" borderId="53" xfId="8" applyFont="1" applyBorder="1"/>
    <xf numFmtId="0" fontId="27" fillId="8" borderId="41" xfId="8" applyFont="1" applyFill="1" applyBorder="1" applyAlignment="1">
      <alignment horizontal="center" vertical="center" wrapText="1" readingOrder="1"/>
    </xf>
    <xf numFmtId="0" fontId="27" fillId="5" borderId="41" xfId="8" applyFont="1" applyFill="1" applyBorder="1" applyAlignment="1">
      <alignment horizontal="center" vertical="center" wrapText="1" readingOrder="1"/>
    </xf>
    <xf numFmtId="0" fontId="27" fillId="10" borderId="41" xfId="8" applyFont="1" applyFill="1" applyBorder="1" applyAlignment="1">
      <alignment horizontal="center" vertical="center" wrapText="1" readingOrder="1"/>
    </xf>
    <xf numFmtId="0" fontId="77" fillId="33" borderId="79" xfId="0" applyFont="1" applyFill="1" applyBorder="1" applyAlignment="1">
      <alignment horizontal="center" vertical="center"/>
    </xf>
    <xf numFmtId="0" fontId="73" fillId="0" borderId="100" xfId="0" applyFont="1" applyBorder="1" applyAlignment="1">
      <alignment horizontal="left" vertical="center" wrapText="1"/>
    </xf>
    <xf numFmtId="0" fontId="73" fillId="0" borderId="107" xfId="0" applyFont="1" applyBorder="1" applyAlignment="1">
      <alignment horizontal="left" vertical="center" wrapText="1"/>
    </xf>
    <xf numFmtId="0" fontId="73" fillId="0" borderId="101" xfId="0" applyFont="1" applyBorder="1" applyAlignment="1">
      <alignment horizontal="left" vertical="center" wrapText="1"/>
    </xf>
    <xf numFmtId="0" fontId="0" fillId="0" borderId="100" xfId="0" applyBorder="1" applyAlignment="1">
      <alignment horizontal="left" vertical="top" wrapText="1"/>
    </xf>
    <xf numFmtId="0" fontId="73" fillId="0" borderId="107" xfId="0" applyFont="1" applyBorder="1" applyAlignment="1">
      <alignment horizontal="left" vertical="top" wrapText="1"/>
    </xf>
    <xf numFmtId="0" fontId="73" fillId="0" borderId="101" xfId="0" applyFont="1" applyBorder="1" applyAlignment="1">
      <alignment horizontal="left" vertical="top" wrapText="1"/>
    </xf>
    <xf numFmtId="17" fontId="0" fillId="0" borderId="100" xfId="0" applyNumberFormat="1" applyBorder="1" applyAlignment="1">
      <alignment horizontal="left" vertical="center" indent="1"/>
    </xf>
    <xf numFmtId="17" fontId="0" fillId="0" borderId="107" xfId="0" applyNumberFormat="1" applyBorder="1" applyAlignment="1">
      <alignment horizontal="left" vertical="center" indent="1"/>
    </xf>
    <xf numFmtId="17" fontId="0" fillId="0" borderId="101" xfId="0" applyNumberFormat="1" applyBorder="1" applyAlignment="1">
      <alignment horizontal="left" vertical="center" indent="1"/>
    </xf>
    <xf numFmtId="0" fontId="100" fillId="3" borderId="47" xfId="0" applyFont="1" applyFill="1" applyBorder="1" applyAlignment="1">
      <alignment horizontal="left" vertical="top" wrapText="1"/>
    </xf>
    <xf numFmtId="0" fontId="94" fillId="0" borderId="40" xfId="0" applyFont="1" applyBorder="1"/>
    <xf numFmtId="0" fontId="94" fillId="0" borderId="44" xfId="0" applyFont="1" applyBorder="1"/>
    <xf numFmtId="0" fontId="99" fillId="3" borderId="34" xfId="0" applyFont="1" applyFill="1" applyBorder="1" applyAlignment="1">
      <alignment horizontal="left" vertical="center" wrapText="1"/>
    </xf>
    <xf numFmtId="0" fontId="94" fillId="0" borderId="35" xfId="0" applyFont="1" applyBorder="1"/>
    <xf numFmtId="0" fontId="99" fillId="0" borderId="34" xfId="0" applyFont="1" applyBorder="1" applyAlignment="1">
      <alignment horizontal="left" vertical="center" wrapText="1"/>
    </xf>
    <xf numFmtId="0" fontId="94" fillId="0" borderId="40" xfId="0" applyFont="1" applyBorder="1" applyAlignment="1">
      <alignment wrapText="1"/>
    </xf>
    <xf numFmtId="0" fontId="94" fillId="0" borderId="44" xfId="0" applyFont="1" applyBorder="1" applyAlignment="1">
      <alignment wrapText="1"/>
    </xf>
    <xf numFmtId="0" fontId="105" fillId="0" borderId="32" xfId="0" applyFont="1" applyBorder="1" applyAlignment="1">
      <alignment horizontal="left" vertical="center" wrapText="1"/>
    </xf>
    <xf numFmtId="0" fontId="94" fillId="0" borderId="33" xfId="0" applyFont="1" applyBorder="1"/>
    <xf numFmtId="0" fontId="105" fillId="3" borderId="32" xfId="0" applyFont="1" applyFill="1" applyBorder="1" applyAlignment="1">
      <alignment horizontal="left" vertical="center" wrapText="1"/>
    </xf>
    <xf numFmtId="0" fontId="99" fillId="3" borderId="35" xfId="0" applyFont="1" applyFill="1" applyBorder="1" applyAlignment="1">
      <alignment horizontal="left" vertical="center" wrapText="1"/>
    </xf>
    <xf numFmtId="0" fontId="105" fillId="3" borderId="33" xfId="0" applyFont="1" applyFill="1" applyBorder="1" applyAlignment="1">
      <alignment horizontal="left" vertical="center" wrapText="1"/>
    </xf>
    <xf numFmtId="0" fontId="105" fillId="0" borderId="28" xfId="0" applyFont="1" applyBorder="1" applyAlignment="1">
      <alignment horizontal="left" vertical="center" wrapText="1" readingOrder="1"/>
    </xf>
    <xf numFmtId="0" fontId="94" fillId="0" borderId="29" xfId="0" applyFont="1" applyBorder="1" applyAlignment="1">
      <alignment vertical="center"/>
    </xf>
    <xf numFmtId="0" fontId="99" fillId="0" borderId="30" xfId="0" applyFont="1" applyBorder="1" applyAlignment="1">
      <alignment horizontal="left" vertical="center" wrapText="1"/>
    </xf>
    <xf numFmtId="0" fontId="94" fillId="0" borderId="31" xfId="0" applyFont="1" applyBorder="1"/>
    <xf numFmtId="0" fontId="99" fillId="3" borderId="30" xfId="0" applyFont="1" applyFill="1" applyBorder="1" applyAlignment="1">
      <alignment horizontal="left" vertical="center" wrapText="1"/>
    </xf>
    <xf numFmtId="0" fontId="105" fillId="3" borderId="28" xfId="0" applyFont="1" applyFill="1" applyBorder="1" applyAlignment="1">
      <alignment horizontal="left" vertical="center" wrapText="1" readingOrder="1"/>
    </xf>
    <xf numFmtId="0" fontId="94" fillId="0" borderId="33" xfId="0" applyFont="1" applyBorder="1" applyAlignment="1">
      <alignment vertical="center"/>
    </xf>
    <xf numFmtId="0" fontId="105" fillId="6" borderId="24" xfId="0" applyFont="1" applyFill="1" applyBorder="1" applyAlignment="1">
      <alignment horizontal="center" vertical="center" wrapText="1"/>
    </xf>
    <xf numFmtId="0" fontId="94" fillId="0" borderId="25" xfId="0" applyFont="1" applyBorder="1"/>
    <xf numFmtId="0" fontId="105" fillId="6" borderId="26" xfId="0" applyFont="1" applyFill="1" applyBorder="1" applyAlignment="1">
      <alignment horizontal="center" vertical="center"/>
    </xf>
    <xf numFmtId="0" fontId="94" fillId="0" borderId="27" xfId="0" applyFont="1" applyBorder="1"/>
    <xf numFmtId="0" fontId="101" fillId="20" borderId="15" xfId="0" applyFont="1" applyFill="1" applyBorder="1" applyAlignment="1">
      <alignment horizontal="center" vertical="center" wrapText="1"/>
    </xf>
    <xf numFmtId="0" fontId="102" fillId="21" borderId="16" xfId="0" applyFont="1" applyFill="1" applyBorder="1"/>
    <xf numFmtId="0" fontId="102" fillId="21" borderId="17" xfId="0" applyFont="1" applyFill="1" applyBorder="1"/>
    <xf numFmtId="0" fontId="95" fillId="0" borderId="47" xfId="0" applyFont="1" applyBorder="1" applyAlignment="1">
      <alignment horizontal="left" vertical="center" wrapText="1"/>
    </xf>
    <xf numFmtId="0" fontId="95" fillId="0" borderId="0" xfId="0" applyFont="1"/>
    <xf numFmtId="0" fontId="94" fillId="0" borderId="21" xfId="0" applyFont="1" applyBorder="1"/>
    <xf numFmtId="0" fontId="94" fillId="0" borderId="22" xfId="0" applyFont="1" applyBorder="1"/>
    <xf numFmtId="0" fontId="94" fillId="0" borderId="23" xfId="0" applyFont="1" applyBorder="1"/>
    <xf numFmtId="0" fontId="103" fillId="3" borderId="18" xfId="0" quotePrefix="1" applyFont="1" applyFill="1" applyBorder="1" applyAlignment="1">
      <alignment horizontal="left" vertical="center" wrapText="1"/>
    </xf>
    <xf numFmtId="0" fontId="94" fillId="0" borderId="19" xfId="0" applyFont="1" applyBorder="1" applyAlignment="1">
      <alignment horizontal="left" vertical="center"/>
    </xf>
    <xf numFmtId="0" fontId="94" fillId="0" borderId="20" xfId="0" applyFont="1" applyBorder="1" applyAlignment="1">
      <alignment horizontal="left" vertical="center"/>
    </xf>
    <xf numFmtId="0" fontId="95" fillId="3" borderId="21" xfId="0" applyFont="1" applyFill="1" applyBorder="1" applyAlignment="1">
      <alignment horizontal="left" vertical="center" wrapText="1"/>
    </xf>
    <xf numFmtId="0" fontId="95" fillId="0" borderId="47" xfId="0" applyFont="1" applyBorder="1" applyAlignment="1">
      <alignment horizontal="left" vertical="top" wrapText="1"/>
    </xf>
    <xf numFmtId="0" fontId="94" fillId="0" borderId="47" xfId="0" applyFont="1" applyBorder="1"/>
    <xf numFmtId="0" fontId="84" fillId="37" borderId="111" xfId="0" applyFont="1" applyFill="1" applyBorder="1" applyAlignment="1">
      <alignment horizontal="center" vertical="center" wrapText="1"/>
    </xf>
    <xf numFmtId="0" fontId="84" fillId="37" borderId="113" xfId="0" applyFont="1" applyFill="1" applyBorder="1" applyAlignment="1">
      <alignment horizontal="center" vertical="center" wrapText="1"/>
    </xf>
    <xf numFmtId="0" fontId="79" fillId="36" borderId="0" xfId="0" applyFont="1" applyFill="1" applyAlignment="1">
      <alignment horizontal="center" vertical="center"/>
    </xf>
    <xf numFmtId="0" fontId="11" fillId="40" borderId="3" xfId="9" applyFont="1" applyFill="1" applyBorder="1" applyAlignment="1">
      <alignment horizontal="center" vertical="center"/>
    </xf>
    <xf numFmtId="0" fontId="11" fillId="40" borderId="5" xfId="9" applyFont="1" applyFill="1" applyBorder="1" applyAlignment="1">
      <alignment horizontal="center" vertical="center"/>
    </xf>
    <xf numFmtId="0" fontId="11" fillId="40" borderId="2" xfId="9" applyFont="1" applyFill="1" applyBorder="1" applyAlignment="1">
      <alignment horizontal="center" vertical="center"/>
    </xf>
    <xf numFmtId="0" fontId="7" fillId="39" borderId="5" xfId="9" applyFont="1" applyFill="1" applyBorder="1" applyAlignment="1">
      <alignment vertical="center"/>
    </xf>
    <xf numFmtId="0" fontId="7" fillId="39" borderId="5" xfId="9" applyFont="1" applyFill="1" applyBorder="1"/>
    <xf numFmtId="0" fontId="7" fillId="39" borderId="4" xfId="9" applyFont="1" applyFill="1" applyBorder="1"/>
    <xf numFmtId="0" fontId="7" fillId="39" borderId="4" xfId="9" applyFont="1" applyFill="1" applyBorder="1" applyAlignment="1">
      <alignment vertical="center"/>
    </xf>
    <xf numFmtId="0" fontId="11" fillId="40" borderId="12" xfId="9" applyFont="1" applyFill="1" applyBorder="1" applyAlignment="1">
      <alignment horizontal="center" vertical="center"/>
    </xf>
    <xf numFmtId="0" fontId="11" fillId="40" borderId="13" xfId="9" applyFont="1" applyFill="1" applyBorder="1" applyAlignment="1">
      <alignment horizontal="center" vertical="center"/>
    </xf>
    <xf numFmtId="9" fontId="8" fillId="0" borderId="6" xfId="9" applyNumberFormat="1" applyFont="1" applyBorder="1" applyAlignment="1">
      <alignment vertical="center" wrapText="1"/>
    </xf>
    <xf numFmtId="9" fontId="8" fillId="0" borderId="10" xfId="9" applyNumberFormat="1" applyFont="1" applyBorder="1" applyAlignment="1">
      <alignment vertical="center" wrapText="1"/>
    </xf>
    <xf numFmtId="0" fontId="115" fillId="39" borderId="130" xfId="10" applyFont="1" applyFill="1" applyBorder="1" applyAlignment="1">
      <alignment horizontal="center" vertical="center" wrapText="1"/>
    </xf>
    <xf numFmtId="0" fontId="115" fillId="39" borderId="131" xfId="10" applyFont="1" applyFill="1" applyBorder="1" applyAlignment="1">
      <alignment horizontal="center" vertical="center" wrapText="1"/>
    </xf>
    <xf numFmtId="0" fontId="11" fillId="40" borderId="3" xfId="9" applyFont="1" applyFill="1" applyBorder="1" applyAlignment="1">
      <alignment horizontal="center" vertical="center" wrapText="1"/>
    </xf>
    <xf numFmtId="0" fontId="11" fillId="40" borderId="1" xfId="9" applyFont="1" applyFill="1" applyBorder="1" applyAlignment="1">
      <alignment horizontal="left" vertical="center" wrapText="1"/>
    </xf>
    <xf numFmtId="0" fontId="11" fillId="40" borderId="12" xfId="9" applyFont="1" applyFill="1" applyBorder="1" applyAlignment="1">
      <alignment horizontal="left" vertical="center" wrapText="1"/>
    </xf>
    <xf numFmtId="0" fontId="11" fillId="0" borderId="6" xfId="9" applyFont="1" applyBorder="1" applyAlignment="1">
      <alignment horizontal="center" vertical="center" wrapText="1"/>
    </xf>
    <xf numFmtId="0" fontId="11" fillId="0" borderId="10" xfId="9" applyFont="1" applyBorder="1" applyAlignment="1">
      <alignment horizontal="center" vertical="center" wrapText="1"/>
    </xf>
    <xf numFmtId="0" fontId="11" fillId="0" borderId="8" xfId="9" applyFont="1" applyBorder="1" applyAlignment="1">
      <alignment horizontal="center" vertical="center" wrapText="1"/>
    </xf>
    <xf numFmtId="9" fontId="8" fillId="0" borderId="8" xfId="9" applyNumberFormat="1" applyFont="1" applyBorder="1" applyAlignment="1">
      <alignment vertical="center" wrapText="1"/>
    </xf>
    <xf numFmtId="0" fontId="11" fillId="0" borderId="6" xfId="9" applyFont="1" applyBorder="1" applyAlignment="1">
      <alignment vertical="center" wrapText="1"/>
    </xf>
    <xf numFmtId="0" fontId="11" fillId="0" borderId="10" xfId="9" applyFont="1" applyBorder="1" applyAlignment="1">
      <alignment vertical="center" wrapText="1"/>
    </xf>
    <xf numFmtId="0" fontId="11" fillId="0" borderId="8" xfId="9" applyFont="1" applyBorder="1" applyAlignment="1">
      <alignment vertical="center" wrapText="1"/>
    </xf>
    <xf numFmtId="0" fontId="11" fillId="0" borderId="6" xfId="9" applyFont="1" applyBorder="1" applyAlignment="1">
      <alignment vertical="center"/>
    </xf>
    <xf numFmtId="0" fontId="11" fillId="0" borderId="10" xfId="9" applyFont="1" applyBorder="1" applyAlignment="1">
      <alignment vertical="center"/>
    </xf>
    <xf numFmtId="0" fontId="8" fillId="0" borderId="6" xfId="9" applyFont="1" applyBorder="1" applyAlignment="1">
      <alignment horizontal="center" vertical="center" wrapText="1"/>
    </xf>
    <xf numFmtId="0" fontId="8" fillId="0" borderId="10" xfId="9" applyFont="1" applyBorder="1" applyAlignment="1">
      <alignment horizontal="center" vertical="center" wrapText="1"/>
    </xf>
    <xf numFmtId="0" fontId="8" fillId="0" borderId="8" xfId="9" applyFont="1" applyBorder="1" applyAlignment="1">
      <alignment horizontal="center" vertical="center" wrapText="1"/>
    </xf>
    <xf numFmtId="0" fontId="5" fillId="0" borderId="40" xfId="1" applyAlignment="1">
      <alignment horizontal="center" vertical="center" textRotation="90" wrapText="1"/>
    </xf>
    <xf numFmtId="0" fontId="5" fillId="0" borderId="40" xfId="1" applyAlignment="1">
      <alignment horizontal="center"/>
    </xf>
    <xf numFmtId="0" fontId="57" fillId="29" borderId="40" xfId="1" applyFont="1" applyFill="1" applyAlignment="1">
      <alignment horizontal="center" vertical="center" wrapText="1"/>
    </xf>
    <xf numFmtId="0" fontId="5" fillId="0" borderId="40" xfId="1" applyAlignment="1">
      <alignment horizontal="center" vertical="center"/>
    </xf>
    <xf numFmtId="0" fontId="5" fillId="0" borderId="40" xfId="1" applyAlignment="1">
      <alignment horizontal="left" vertical="center" wrapText="1"/>
    </xf>
    <xf numFmtId="0" fontId="60" fillId="23" borderId="81" xfId="2" applyFont="1" applyFill="1" applyBorder="1" applyAlignment="1">
      <alignment horizontal="left" vertical="center" wrapText="1" indent="1"/>
    </xf>
    <xf numFmtId="0" fontId="60" fillId="23" borderId="82" xfId="2" applyFont="1" applyFill="1" applyBorder="1" applyAlignment="1">
      <alignment horizontal="left" vertical="center" wrapText="1" indent="1"/>
    </xf>
    <xf numFmtId="0" fontId="60" fillId="23" borderId="83" xfId="2" applyFont="1" applyFill="1" applyBorder="1" applyAlignment="1">
      <alignment horizontal="left" vertical="center" wrapText="1" indent="1"/>
    </xf>
    <xf numFmtId="0" fontId="61" fillId="0" borderId="81" xfId="1" applyFont="1" applyBorder="1" applyAlignment="1">
      <alignment horizontal="left" vertical="top" wrapText="1"/>
    </xf>
    <xf numFmtId="0" fontId="61" fillId="0" borderId="82" xfId="1" applyFont="1" applyBorder="1" applyAlignment="1">
      <alignment horizontal="left" vertical="top" wrapText="1"/>
    </xf>
    <xf numFmtId="0" fontId="61" fillId="0" borderId="83" xfId="1" applyFont="1" applyBorder="1" applyAlignment="1">
      <alignment horizontal="left" vertical="top" wrapText="1"/>
    </xf>
    <xf numFmtId="0" fontId="67" fillId="0" borderId="84" xfId="11" applyFont="1" applyBorder="1" applyAlignment="1">
      <alignment horizontal="center" vertical="center" wrapText="1"/>
    </xf>
    <xf numFmtId="0" fontId="67" fillId="0" borderId="134" xfId="11" applyFont="1" applyBorder="1" applyAlignment="1">
      <alignment horizontal="center" vertical="center" wrapText="1"/>
    </xf>
    <xf numFmtId="166" fontId="67" fillId="0" borderId="84" xfId="11" applyNumberFormat="1" applyFont="1" applyBorder="1" applyAlignment="1">
      <alignment horizontal="center" vertical="center" wrapText="1"/>
    </xf>
    <xf numFmtId="166" fontId="67" fillId="0" borderId="134" xfId="11" applyNumberFormat="1" applyFont="1" applyBorder="1" applyAlignment="1">
      <alignment horizontal="center" vertical="center" wrapText="1"/>
    </xf>
    <xf numFmtId="0" fontId="67" fillId="0" borderId="86" xfId="11" applyFont="1" applyBorder="1" applyAlignment="1">
      <alignment horizontal="center" vertical="center" wrapText="1"/>
    </xf>
    <xf numFmtId="166" fontId="67" fillId="0" borderId="86" xfId="11" applyNumberFormat="1" applyFont="1" applyBorder="1" applyAlignment="1">
      <alignment horizontal="center" vertical="center" wrapText="1"/>
    </xf>
    <xf numFmtId="0" fontId="66" fillId="0" borderId="84" xfId="11" applyFont="1" applyBorder="1" applyAlignment="1">
      <alignment horizontal="center" vertical="center" wrapText="1"/>
    </xf>
    <xf numFmtId="0" fontId="66" fillId="0" borderId="86" xfId="11" applyFont="1" applyBorder="1" applyAlignment="1">
      <alignment horizontal="center" vertical="center" wrapText="1"/>
    </xf>
    <xf numFmtId="166" fontId="66" fillId="0" borderId="84" xfId="11" applyNumberFormat="1" applyFont="1" applyBorder="1" applyAlignment="1">
      <alignment horizontal="center" vertical="center" wrapText="1"/>
    </xf>
    <xf numFmtId="166" fontId="66" fillId="0" borderId="86" xfId="11" applyNumberFormat="1" applyFont="1" applyBorder="1" applyAlignment="1">
      <alignment horizontal="center" vertical="center" wrapText="1"/>
    </xf>
    <xf numFmtId="0" fontId="138" fillId="0" borderId="84" xfId="11" applyFont="1" applyBorder="1" applyAlignment="1">
      <alignment horizontal="center" vertical="center" wrapText="1"/>
    </xf>
    <xf numFmtId="0" fontId="138" fillId="0" borderId="86" xfId="11" applyFont="1" applyBorder="1" applyAlignment="1">
      <alignment horizontal="center" vertical="center" wrapText="1"/>
    </xf>
    <xf numFmtId="0" fontId="100" fillId="0" borderId="84" xfId="11" applyFont="1" applyBorder="1" applyAlignment="1">
      <alignment horizontal="center" vertical="center" wrapText="1"/>
    </xf>
    <xf numFmtId="0" fontId="100" fillId="0" borderId="86" xfId="11" applyFont="1" applyBorder="1" applyAlignment="1">
      <alignment horizontal="center" vertical="center" wrapText="1"/>
    </xf>
    <xf numFmtId="166" fontId="138" fillId="0" borderId="84" xfId="11" applyNumberFormat="1" applyFont="1" applyBorder="1" applyAlignment="1">
      <alignment horizontal="center" vertical="center" wrapText="1"/>
    </xf>
    <xf numFmtId="166" fontId="138" fillId="0" borderId="86" xfId="11" applyNumberFormat="1" applyFont="1" applyBorder="1" applyAlignment="1">
      <alignment horizontal="center" vertical="center" wrapText="1"/>
    </xf>
    <xf numFmtId="0" fontId="66" fillId="0" borderId="134" xfId="11" applyFont="1" applyBorder="1" applyAlignment="1">
      <alignment horizontal="center" vertical="center" wrapText="1"/>
    </xf>
    <xf numFmtId="166" fontId="66" fillId="0" borderId="134" xfId="11" applyNumberFormat="1" applyFont="1" applyBorder="1" applyAlignment="1">
      <alignment horizontal="center" vertical="center" wrapText="1"/>
    </xf>
    <xf numFmtId="0" fontId="77" fillId="30" borderId="79" xfId="0" applyFont="1" applyFill="1" applyBorder="1" applyAlignment="1">
      <alignment horizontal="center" vertical="center"/>
    </xf>
    <xf numFmtId="0" fontId="73" fillId="0" borderId="100" xfId="0" applyFont="1" applyBorder="1" applyAlignment="1">
      <alignment horizontal="left" vertical="top" wrapText="1"/>
    </xf>
    <xf numFmtId="17" fontId="0" fillId="0" borderId="100" xfId="0" applyNumberFormat="1" applyBorder="1" applyAlignment="1">
      <alignment horizontal="center" vertical="center"/>
    </xf>
    <xf numFmtId="17" fontId="0" fillId="0" borderId="107" xfId="0" applyNumberFormat="1" applyBorder="1" applyAlignment="1">
      <alignment horizontal="center" vertical="center"/>
    </xf>
    <xf numFmtId="17" fontId="0" fillId="0" borderId="101" xfId="0" applyNumberFormat="1" applyBorder="1" applyAlignment="1">
      <alignment horizontal="center" vertical="center"/>
    </xf>
    <xf numFmtId="0" fontId="17" fillId="0" borderId="32" xfId="0" applyFont="1" applyBorder="1" applyAlignment="1">
      <alignment horizontal="left" vertical="center" wrapText="1"/>
    </xf>
    <xf numFmtId="0" fontId="17" fillId="0" borderId="33" xfId="0" applyFont="1" applyBorder="1" applyAlignment="1">
      <alignment horizontal="left" vertical="center" wrapText="1"/>
    </xf>
    <xf numFmtId="0" fontId="18" fillId="0" borderId="34" xfId="0" applyFont="1" applyBorder="1" applyAlignment="1">
      <alignment horizontal="left" vertical="center" wrapText="1"/>
    </xf>
    <xf numFmtId="0" fontId="18" fillId="0" borderId="35" xfId="0" applyFont="1" applyBorder="1" applyAlignment="1">
      <alignment horizontal="left" vertical="center" wrapText="1"/>
    </xf>
    <xf numFmtId="0" fontId="91" fillId="3" borderId="36" xfId="0" applyFont="1" applyFill="1" applyBorder="1" applyAlignment="1">
      <alignment horizontal="left" vertical="center" wrapText="1"/>
    </xf>
    <xf numFmtId="0" fontId="7" fillId="0" borderId="37" xfId="0" applyFont="1" applyBorder="1"/>
    <xf numFmtId="0" fontId="18" fillId="3" borderId="38" xfId="0" applyFont="1" applyFill="1" applyBorder="1" applyAlignment="1">
      <alignment horizontal="left" vertical="center" wrapText="1"/>
    </xf>
    <xf numFmtId="0" fontId="7" fillId="0" borderId="39" xfId="0" applyFont="1" applyBorder="1"/>
    <xf numFmtId="0" fontId="13" fillId="3" borderId="124" xfId="0" applyFont="1" applyFill="1" applyBorder="1" applyAlignment="1">
      <alignment horizontal="left" vertical="top" wrapText="1"/>
    </xf>
    <xf numFmtId="0" fontId="7" fillId="0" borderId="125" xfId="0" applyFont="1" applyBorder="1"/>
    <xf numFmtId="0" fontId="13" fillId="3" borderId="126" xfId="0" applyFont="1" applyFill="1" applyBorder="1" applyAlignment="1">
      <alignment horizontal="left" vertical="top" wrapText="1"/>
    </xf>
    <xf numFmtId="0" fontId="7" fillId="0" borderId="127" xfId="0" applyFont="1" applyBorder="1" applyAlignment="1">
      <alignment wrapText="1"/>
    </xf>
    <xf numFmtId="0" fontId="7" fillId="0" borderId="128" xfId="0" applyFont="1" applyBorder="1" applyAlignment="1">
      <alignment wrapText="1"/>
    </xf>
    <xf numFmtId="0" fontId="17" fillId="3" borderId="32" xfId="0" applyFont="1" applyFill="1" applyBorder="1" applyAlignment="1">
      <alignment horizontal="left" vertical="center" wrapText="1"/>
    </xf>
    <xf numFmtId="0" fontId="7" fillId="0" borderId="33" xfId="0" applyFont="1" applyBorder="1" applyAlignment="1">
      <alignment vertical="center"/>
    </xf>
    <xf numFmtId="0" fontId="18" fillId="3" borderId="34" xfId="0" applyFont="1" applyFill="1" applyBorder="1" applyAlignment="1">
      <alignment horizontal="left" vertical="center" wrapText="1"/>
    </xf>
    <xf numFmtId="0" fontId="7" fillId="0" borderId="35" xfId="0" applyFont="1" applyBorder="1"/>
    <xf numFmtId="0" fontId="17" fillId="0" borderId="28" xfId="0" applyFont="1" applyBorder="1" applyAlignment="1">
      <alignment horizontal="left" vertical="center" wrapText="1" readingOrder="1"/>
    </xf>
    <xf numFmtId="0" fontId="7" fillId="0" borderId="29" xfId="0" applyFont="1" applyBorder="1" applyAlignment="1">
      <alignment vertical="center"/>
    </xf>
    <xf numFmtId="0" fontId="18" fillId="0" borderId="30" xfId="0" applyFont="1" applyBorder="1" applyAlignment="1">
      <alignment horizontal="left" vertical="center" wrapText="1"/>
    </xf>
    <xf numFmtId="0" fontId="7" fillId="0" borderId="31" xfId="0" applyFont="1" applyBorder="1"/>
    <xf numFmtId="0" fontId="17" fillId="3" borderId="28" xfId="0" applyFont="1" applyFill="1" applyBorder="1" applyAlignment="1">
      <alignment horizontal="left" vertical="center" wrapText="1" readingOrder="1"/>
    </xf>
    <xf numFmtId="0" fontId="18" fillId="3" borderId="30" xfId="0" applyFont="1" applyFill="1" applyBorder="1" applyAlignment="1">
      <alignment horizontal="left" vertical="center" wrapText="1"/>
    </xf>
    <xf numFmtId="0" fontId="89" fillId="38" borderId="118" xfId="0" applyFont="1" applyFill="1" applyBorder="1" applyAlignment="1">
      <alignment horizontal="center" vertical="center" wrapText="1"/>
    </xf>
    <xf numFmtId="0" fontId="90" fillId="30" borderId="16" xfId="0" applyFont="1" applyFill="1" applyBorder="1"/>
    <xf numFmtId="0" fontId="90" fillId="30" borderId="119" xfId="0" applyFont="1" applyFill="1" applyBorder="1"/>
    <xf numFmtId="0" fontId="15" fillId="3" borderId="120" xfId="0" quotePrefix="1" applyFont="1" applyFill="1" applyBorder="1" applyAlignment="1">
      <alignment horizontal="left" vertical="center" wrapText="1"/>
    </xf>
    <xf numFmtId="0" fontId="7" fillId="0" borderId="19" xfId="0" applyFont="1" applyBorder="1" applyAlignment="1">
      <alignment horizontal="left" vertical="center"/>
    </xf>
    <xf numFmtId="0" fontId="7" fillId="0" borderId="121" xfId="0" applyFont="1" applyBorder="1" applyAlignment="1">
      <alignment horizontal="left" vertical="center"/>
    </xf>
    <xf numFmtId="0" fontId="10" fillId="3" borderId="122" xfId="0" applyFont="1" applyFill="1" applyBorder="1" applyAlignment="1">
      <alignment horizontal="left" vertical="center" wrapText="1"/>
    </xf>
    <xf numFmtId="0" fontId="75" fillId="0" borderId="22" xfId="0" applyFont="1" applyBorder="1"/>
    <xf numFmtId="0" fontId="75" fillId="0" borderId="123" xfId="0" applyFont="1" applyBorder="1"/>
    <xf numFmtId="0" fontId="8" fillId="0" borderId="124" xfId="0" applyFont="1" applyBorder="1" applyAlignment="1">
      <alignment horizontal="left" vertical="top" wrapText="1"/>
    </xf>
    <xf numFmtId="0" fontId="73" fillId="0" borderId="40" xfId="0" applyFont="1" applyBorder="1"/>
    <xf numFmtId="0" fontId="7" fillId="0" borderId="124" xfId="0" applyFont="1" applyBorder="1"/>
    <xf numFmtId="0" fontId="17" fillId="6" borderId="24" xfId="0" applyFont="1" applyFill="1" applyBorder="1" applyAlignment="1">
      <alignment horizontal="center" vertical="center" wrapText="1"/>
    </xf>
    <xf numFmtId="0" fontId="7" fillId="0" borderId="25" xfId="0" applyFont="1" applyBorder="1"/>
    <xf numFmtId="0" fontId="17" fillId="6" borderId="26" xfId="0" applyFont="1" applyFill="1" applyBorder="1" applyAlignment="1">
      <alignment horizontal="center" vertical="center"/>
    </xf>
    <xf numFmtId="0" fontId="7" fillId="0" borderId="27" xfId="0" applyFont="1" applyBorder="1"/>
    <xf numFmtId="0" fontId="9" fillId="0" borderId="0" xfId="0" applyFont="1" applyAlignment="1">
      <alignment horizontal="center" vertical="center"/>
    </xf>
    <xf numFmtId="0" fontId="33" fillId="0" borderId="0" xfId="0" applyFont="1" applyAlignment="1">
      <alignment horizontal="center" vertical="center"/>
    </xf>
    <xf numFmtId="0" fontId="49" fillId="3" borderId="40" xfId="0" applyFont="1" applyFill="1" applyBorder="1" applyAlignment="1">
      <alignment horizontal="left" vertical="center" wrapText="1"/>
    </xf>
    <xf numFmtId="0" fontId="47" fillId="3" borderId="71" xfId="0" applyFont="1" applyFill="1" applyBorder="1" applyAlignment="1">
      <alignment horizontal="center" vertical="center" wrapText="1" readingOrder="1"/>
    </xf>
    <xf numFmtId="0" fontId="7" fillId="0" borderId="70" xfId="0" applyFont="1" applyBorder="1"/>
    <xf numFmtId="0" fontId="7" fillId="0" borderId="75" xfId="0" applyFont="1" applyBorder="1"/>
    <xf numFmtId="0" fontId="45" fillId="15" borderId="59" xfId="0" applyFont="1" applyFill="1" applyBorder="1" applyAlignment="1">
      <alignment horizontal="center" vertical="center" wrapText="1" readingOrder="1"/>
    </xf>
    <xf numFmtId="0" fontId="7" fillId="0" borderId="60" xfId="0" applyFont="1" applyBorder="1"/>
    <xf numFmtId="0" fontId="7" fillId="0" borderId="61" xfId="0" applyFont="1" applyBorder="1"/>
    <xf numFmtId="0" fontId="47" fillId="15" borderId="59" xfId="0" applyFont="1" applyFill="1" applyBorder="1" applyAlignment="1">
      <alignment horizontal="center" vertical="center" wrapText="1" readingOrder="1"/>
    </xf>
    <xf numFmtId="0" fontId="7" fillId="0" borderId="62" xfId="0" applyFont="1" applyBorder="1"/>
    <xf numFmtId="0" fontId="47" fillId="3" borderId="66" xfId="0" applyFont="1" applyFill="1" applyBorder="1" applyAlignment="1">
      <alignment horizontal="center" vertical="center" wrapText="1" readingOrder="1"/>
    </xf>
    <xf numFmtId="0" fontId="7" fillId="0" borderId="66" xfId="0" applyFont="1" applyBorder="1"/>
    <xf numFmtId="0" fontId="7" fillId="0" borderId="72" xfId="0" applyFont="1" applyBorder="1"/>
    <xf numFmtId="0" fontId="47" fillId="3" borderId="67" xfId="0" applyFont="1" applyFill="1" applyBorder="1" applyAlignment="1">
      <alignment horizontal="center" vertical="center" wrapText="1" readingOrder="1"/>
    </xf>
    <xf numFmtId="0" fontId="7" fillId="0" borderId="67" xfId="0" applyFont="1" applyBorder="1"/>
    <xf numFmtId="0" fontId="47" fillId="3" borderId="73" xfId="0" applyFont="1" applyFill="1" applyBorder="1" applyAlignment="1">
      <alignment horizontal="center" vertical="center" wrapText="1" readingOrder="1"/>
    </xf>
    <xf numFmtId="0" fontId="7" fillId="0" borderId="74" xfId="0" applyFont="1" applyBorder="1"/>
    <xf numFmtId="0" fontId="56" fillId="0" borderId="100" xfId="1" applyFont="1" applyBorder="1" applyAlignment="1">
      <alignment horizontal="center" vertical="center" wrapText="1"/>
    </xf>
    <xf numFmtId="0" fontId="56" fillId="0" borderId="107" xfId="1" applyFont="1" applyBorder="1" applyAlignment="1">
      <alignment horizontal="center" vertical="center" wrapText="1"/>
    </xf>
    <xf numFmtId="0" fontId="56" fillId="0" borderId="101" xfId="1" applyFont="1" applyBorder="1" applyAlignment="1">
      <alignment horizontal="center" vertical="center" wrapText="1"/>
    </xf>
    <xf numFmtId="0" fontId="56" fillId="19" borderId="78" xfId="1" applyFont="1" applyFill="1" applyBorder="1" applyAlignment="1">
      <alignment horizontal="center" vertical="center" wrapText="1"/>
    </xf>
    <xf numFmtId="0" fontId="56" fillId="0" borderId="78" xfId="1" applyFont="1" applyBorder="1" applyAlignment="1">
      <alignment horizontal="center" vertical="center" wrapText="1"/>
    </xf>
    <xf numFmtId="0" fontId="56" fillId="19" borderId="78" xfId="1" applyFont="1" applyFill="1" applyBorder="1" applyAlignment="1">
      <alignment horizontal="center" vertical="center"/>
    </xf>
    <xf numFmtId="0" fontId="82" fillId="0" borderId="68" xfId="3" applyFont="1" applyBorder="1" applyAlignment="1">
      <alignment horizontal="center" vertical="center" wrapText="1"/>
    </xf>
    <xf numFmtId="0" fontId="78" fillId="0" borderId="68" xfId="3" applyBorder="1" applyAlignment="1">
      <alignment horizontal="center" vertical="center"/>
    </xf>
    <xf numFmtId="0" fontId="80" fillId="0" borderId="68" xfId="3" applyFont="1" applyBorder="1" applyAlignment="1">
      <alignment horizontal="center" vertical="center" wrapText="1"/>
    </xf>
    <xf numFmtId="0" fontId="78" fillId="0" borderId="68" xfId="3" applyBorder="1" applyAlignment="1">
      <alignment horizontal="center" vertical="center" wrapText="1"/>
    </xf>
    <xf numFmtId="0" fontId="80" fillId="0" borderId="68" xfId="3" applyFont="1" applyBorder="1" applyAlignment="1">
      <alignment horizontal="center" vertical="center"/>
    </xf>
    <xf numFmtId="0" fontId="8" fillId="0" borderId="3" xfId="0" applyFont="1" applyBorder="1" applyAlignment="1">
      <alignment horizontal="left" vertical="center" wrapText="1"/>
    </xf>
    <xf numFmtId="0" fontId="7" fillId="0" borderId="5" xfId="0" applyFont="1" applyBorder="1"/>
    <xf numFmtId="0" fontId="7" fillId="0" borderId="4" xfId="0" applyFont="1" applyBorder="1"/>
    <xf numFmtId="9" fontId="8" fillId="0" borderId="6" xfId="0" applyNumberFormat="1" applyFont="1" applyBorder="1" applyAlignment="1">
      <alignment horizontal="center" vertical="center" wrapText="1"/>
    </xf>
    <xf numFmtId="0" fontId="7" fillId="0" borderId="10" xfId="0" applyFont="1" applyBorder="1"/>
    <xf numFmtId="0" fontId="7" fillId="0" borderId="8" xfId="0" applyFont="1" applyBorder="1"/>
    <xf numFmtId="0" fontId="11" fillId="0" borderId="6" xfId="0" applyFont="1" applyBorder="1" applyAlignment="1">
      <alignment horizontal="center" vertical="center" wrapText="1"/>
    </xf>
    <xf numFmtId="0" fontId="11" fillId="0" borderId="6" xfId="0" applyFont="1" applyBorder="1" applyAlignment="1">
      <alignment horizontal="center" vertical="center"/>
    </xf>
    <xf numFmtId="0" fontId="8" fillId="0" borderId="6" xfId="0" applyFont="1" applyBorder="1" applyAlignment="1">
      <alignment horizontal="center" vertical="center"/>
    </xf>
    <xf numFmtId="0" fontId="8" fillId="0" borderId="6" xfId="0" applyFont="1" applyBorder="1" applyAlignment="1">
      <alignment horizontal="center" vertical="center" wrapText="1"/>
    </xf>
    <xf numFmtId="0" fontId="11" fillId="2" borderId="6" xfId="0" applyFont="1" applyFill="1" applyBorder="1" applyAlignment="1">
      <alignment horizontal="center" vertical="center" textRotation="90" wrapText="1"/>
    </xf>
    <xf numFmtId="0" fontId="11" fillId="2" borderId="6"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7" fillId="0" borderId="12" xfId="0" applyFont="1" applyBorder="1"/>
    <xf numFmtId="0" fontId="11" fillId="2" borderId="7" xfId="0" applyFont="1" applyFill="1" applyBorder="1" applyAlignment="1">
      <alignment horizontal="center" vertical="center"/>
    </xf>
    <xf numFmtId="0" fontId="11" fillId="2" borderId="10" xfId="0" applyFont="1" applyFill="1" applyBorder="1" applyAlignment="1">
      <alignment horizontal="center" vertical="center" wrapText="1"/>
    </xf>
    <xf numFmtId="0" fontId="11" fillId="2" borderId="3" xfId="0" applyFont="1" applyFill="1" applyBorder="1" applyAlignment="1">
      <alignment horizontal="center" vertical="center"/>
    </xf>
    <xf numFmtId="0" fontId="12" fillId="2" borderId="6" xfId="0" applyFont="1" applyFill="1" applyBorder="1" applyAlignment="1">
      <alignment horizontal="center" vertical="center" textRotation="90"/>
    </xf>
    <xf numFmtId="0" fontId="11" fillId="2" borderId="6" xfId="0" applyFont="1" applyFill="1" applyBorder="1" applyAlignment="1">
      <alignment horizontal="center" vertical="center"/>
    </xf>
    <xf numFmtId="0" fontId="11" fillId="2" borderId="10" xfId="0" applyFont="1" applyFill="1" applyBorder="1" applyAlignment="1">
      <alignment horizontal="center" vertical="center"/>
    </xf>
    <xf numFmtId="0" fontId="9" fillId="2" borderId="3" xfId="0" applyFont="1" applyFill="1" applyBorder="1" applyAlignment="1">
      <alignment horizontal="left" vertical="center"/>
    </xf>
    <xf numFmtId="0" fontId="10" fillId="3" borderId="3" xfId="0" applyFont="1" applyFill="1" applyBorder="1" applyAlignment="1">
      <alignment horizontal="left" vertical="center" wrapText="1"/>
    </xf>
    <xf numFmtId="0" fontId="6" fillId="2" borderId="1" xfId="0" applyFont="1" applyFill="1" applyBorder="1" applyAlignment="1">
      <alignment horizontal="center" vertical="center"/>
    </xf>
    <xf numFmtId="0" fontId="7" fillId="0" borderId="2" xfId="0" applyFont="1" applyBorder="1"/>
    <xf numFmtId="0" fontId="7" fillId="0" borderId="11" xfId="0" applyFont="1" applyBorder="1"/>
    <xf numFmtId="0" fontId="7" fillId="0" borderId="13" xfId="0" applyFont="1" applyBorder="1"/>
    <xf numFmtId="0" fontId="7" fillId="0" borderId="14" xfId="0" applyFont="1" applyBorder="1"/>
    <xf numFmtId="0" fontId="10" fillId="3" borderId="3" xfId="0" applyFont="1" applyFill="1" applyBorder="1" applyAlignment="1">
      <alignment horizontal="left" vertical="center"/>
    </xf>
    <xf numFmtId="0" fontId="8" fillId="3" borderId="40" xfId="0" applyFont="1" applyFill="1" applyBorder="1" applyAlignment="1">
      <alignment horizontal="left" vertical="center"/>
    </xf>
  </cellXfs>
  <cellStyles count="17">
    <cellStyle name="Hipervínculo 2" xfId="2" xr:uid="{00000000-0005-0000-0000-000000000000}"/>
    <cellStyle name="Hyperlink" xfId="13" xr:uid="{EC6F3E95-AC01-4037-A574-29EDB8BE09C2}"/>
    <cellStyle name="Normal" xfId="0" builtinId="0"/>
    <cellStyle name="Normal 10" xfId="15" xr:uid="{27CA0767-E780-41EE-9416-67D166504EAC}"/>
    <cellStyle name="Normal 2" xfId="1" xr:uid="{00000000-0005-0000-0000-000002000000}"/>
    <cellStyle name="Normal 2 2" xfId="11" xr:uid="{87FDC39A-F0F4-4F77-8A14-3A6CBBF3C98C}"/>
    <cellStyle name="Normal 2 3" xfId="16" xr:uid="{E47E45F7-774C-4DC5-9DD5-F934789E4C4F}"/>
    <cellStyle name="Normal 3" xfId="3" xr:uid="{FEC1DFB7-903D-4287-A514-A3A48D7D1B58}"/>
    <cellStyle name="Normal 4" xfId="4" xr:uid="{B499DC4A-00C5-4F22-840B-C9C6207A4E39}"/>
    <cellStyle name="Normal 4 2" xfId="10" xr:uid="{D1B18F5D-528A-4EA3-B6E5-D7FD9DCE2C53}"/>
    <cellStyle name="Normal 5" xfId="7" xr:uid="{91DEE7A2-9C1D-4DA2-A583-50D8BB55BD92}"/>
    <cellStyle name="Normal 5 2" xfId="12" xr:uid="{284ED403-B172-4294-BCAC-2F0D5473FF68}"/>
    <cellStyle name="Normal 6" xfId="6" xr:uid="{09AAC867-E957-4629-B424-956B90B4F488}"/>
    <cellStyle name="Normal 7" xfId="8" xr:uid="{2914B64A-1330-4778-89A8-C0EC6154C47B}"/>
    <cellStyle name="Normal 8" xfId="9" xr:uid="{73811056-D708-4D1E-B5B4-38C0123F5A8A}"/>
    <cellStyle name="Normal 9" xfId="14" xr:uid="{D3E55FE6-C0C4-4881-A8F6-5232FF4CEADB}"/>
    <cellStyle name="Porcentaje 2" xfId="5" xr:uid="{AFE9E831-9D22-46C2-A598-433481A80F00}"/>
  </cellStyles>
  <dxfs count="179">
    <dxf>
      <fill>
        <patternFill patternType="solid">
          <fgColor rgb="FFFFFF00"/>
          <bgColor rgb="FFFFFF00"/>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FFFF00"/>
          <bgColor rgb="FFFFFF00"/>
        </patternFill>
      </fill>
    </dxf>
    <dxf>
      <fill>
        <patternFill patternType="solid">
          <fgColor rgb="FF92D050"/>
          <bgColor rgb="FF92D050"/>
        </patternFill>
      </fill>
    </dxf>
    <dxf>
      <fill>
        <patternFill patternType="solid">
          <fgColor rgb="FFE36C09"/>
          <bgColor rgb="FFE36C09"/>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defaultTableStyle="TableStyleMedium2" defaultPivotStyle="PivotStyleLight16">
    <tableStyle name="Tabla Impacto-style" pivot="0" count="3" xr9:uid="{00000000-0011-0000-FFFF-FFFF00000000}">
      <tableStyleElement type="headerRow" dxfId="178"/>
      <tableStyleElement type="firstRowStripe" dxfId="177"/>
      <tableStyleElement type="secondRowStripe" dxfId="17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tyles" Target="styles.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238125</xdr:colOff>
      <xdr:row>5</xdr:row>
      <xdr:rowOff>333375</xdr:rowOff>
    </xdr:from>
    <xdr:to>
      <xdr:col>6</xdr:col>
      <xdr:colOff>514350</xdr:colOff>
      <xdr:row>6</xdr:row>
      <xdr:rowOff>266700</xdr:rowOff>
    </xdr:to>
    <xdr:sp macro="" textlink="">
      <xdr:nvSpPr>
        <xdr:cNvPr id="2" name="Flecha abajo 1">
          <a:extLst>
            <a:ext uri="{FF2B5EF4-FFF2-40B4-BE49-F238E27FC236}">
              <a16:creationId xmlns:a16="http://schemas.microsoft.com/office/drawing/2014/main" id="{905E8B59-5D0A-4534-9192-C24092561AB7}"/>
            </a:ext>
          </a:extLst>
        </xdr:cNvPr>
        <xdr:cNvSpPr/>
      </xdr:nvSpPr>
      <xdr:spPr>
        <a:xfrm>
          <a:off x="3676650" y="1895475"/>
          <a:ext cx="276225" cy="428625"/>
        </a:xfrm>
        <a:prstGeom prst="downArrow">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a:p>
      </xdr:txBody>
    </xdr:sp>
    <xdr:clientData/>
  </xdr:twoCellAnchor>
  <xdr:twoCellAnchor>
    <xdr:from>
      <xdr:col>5</xdr:col>
      <xdr:colOff>495300</xdr:colOff>
      <xdr:row>6</xdr:row>
      <xdr:rowOff>104775</xdr:rowOff>
    </xdr:from>
    <xdr:to>
      <xdr:col>6</xdr:col>
      <xdr:colOff>228600</xdr:colOff>
      <xdr:row>6</xdr:row>
      <xdr:rowOff>400050</xdr:rowOff>
    </xdr:to>
    <xdr:sp macro="" textlink="">
      <xdr:nvSpPr>
        <xdr:cNvPr id="3" name="Flecha izquierda 2">
          <a:extLst>
            <a:ext uri="{FF2B5EF4-FFF2-40B4-BE49-F238E27FC236}">
              <a16:creationId xmlns:a16="http://schemas.microsoft.com/office/drawing/2014/main" id="{9492ECA5-6F0C-4F7C-8A01-564ACC6A6C81}"/>
            </a:ext>
            <a:ext uri="{147F2762-F138-4A5C-976F-8EAC2B608ADB}">
              <a16:predDERef xmlns:a16="http://schemas.microsoft.com/office/drawing/2014/main" pred="{7D5050DC-FFA0-494D-945D-2C5759281E9D}"/>
            </a:ext>
          </a:extLst>
        </xdr:cNvPr>
        <xdr:cNvSpPr/>
      </xdr:nvSpPr>
      <xdr:spPr>
        <a:xfrm>
          <a:off x="3181350" y="2162175"/>
          <a:ext cx="485775" cy="295275"/>
        </a:xfrm>
        <a:prstGeom prst="leftArrow">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a:p>
      </xdr:txBody>
    </xdr:sp>
    <xdr:clientData/>
  </xdr:twoCellAnchor>
  <xdr:twoCellAnchor>
    <xdr:from>
      <xdr:col>4</xdr:col>
      <xdr:colOff>9525</xdr:colOff>
      <xdr:row>10</xdr:row>
      <xdr:rowOff>19050</xdr:rowOff>
    </xdr:from>
    <xdr:to>
      <xdr:col>8</xdr:col>
      <xdr:colOff>733425</xdr:colOff>
      <xdr:row>10</xdr:row>
      <xdr:rowOff>161926</xdr:rowOff>
    </xdr:to>
    <xdr:sp macro="" textlink="">
      <xdr:nvSpPr>
        <xdr:cNvPr id="4" name="Rectángulo redondeado 3">
          <a:extLst>
            <a:ext uri="{FF2B5EF4-FFF2-40B4-BE49-F238E27FC236}">
              <a16:creationId xmlns:a16="http://schemas.microsoft.com/office/drawing/2014/main" id="{27BFDEB7-D326-4244-8149-DEF882943ADD}"/>
            </a:ext>
          </a:extLst>
        </xdr:cNvPr>
        <xdr:cNvSpPr/>
      </xdr:nvSpPr>
      <xdr:spPr>
        <a:xfrm>
          <a:off x="1943100" y="3448050"/>
          <a:ext cx="3733800" cy="142876"/>
        </a:xfrm>
        <a:prstGeom prst="roundRect">
          <a:avLst/>
        </a:prstGeom>
        <a:gradFill flip="none" rotWithShape="1">
          <a:gsLst>
            <a:gs pos="0">
              <a:srgbClr val="FF0000"/>
            </a:gs>
            <a:gs pos="50000">
              <a:srgbClr val="FFFF00"/>
            </a:gs>
            <a:gs pos="100000">
              <a:srgbClr val="00B050"/>
            </a:gs>
          </a:gsLst>
          <a:lin ang="108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Impacto</a:t>
          </a:r>
        </a:p>
      </xdr:txBody>
    </xdr:sp>
    <xdr:clientData/>
  </xdr:twoCellAnchor>
  <xdr:twoCellAnchor>
    <xdr:from>
      <xdr:col>1</xdr:col>
      <xdr:colOff>147637</xdr:colOff>
      <xdr:row>2</xdr:row>
      <xdr:rowOff>176213</xdr:rowOff>
    </xdr:from>
    <xdr:to>
      <xdr:col>1</xdr:col>
      <xdr:colOff>291637</xdr:colOff>
      <xdr:row>8</xdr:row>
      <xdr:rowOff>0</xdr:rowOff>
    </xdr:to>
    <xdr:sp macro="" textlink="">
      <xdr:nvSpPr>
        <xdr:cNvPr id="5" name="Rectángulo redondeado 4">
          <a:extLst>
            <a:ext uri="{FF2B5EF4-FFF2-40B4-BE49-F238E27FC236}">
              <a16:creationId xmlns:a16="http://schemas.microsoft.com/office/drawing/2014/main" id="{60DA58A5-48F0-4943-B6D0-B6DDC408C885}"/>
            </a:ext>
          </a:extLst>
        </xdr:cNvPr>
        <xdr:cNvSpPr/>
      </xdr:nvSpPr>
      <xdr:spPr>
        <a:xfrm rot="16200000">
          <a:off x="-263757" y="1730607"/>
          <a:ext cx="2490787" cy="144000"/>
        </a:xfrm>
        <a:prstGeom prst="roundRect">
          <a:avLst/>
        </a:prstGeom>
        <a:gradFill flip="none" rotWithShape="1">
          <a:gsLst>
            <a:gs pos="0">
              <a:srgbClr val="FF0000"/>
            </a:gs>
            <a:gs pos="50000">
              <a:srgbClr val="FFFF00"/>
            </a:gs>
            <a:gs pos="100000">
              <a:srgbClr val="00B050"/>
            </a:gs>
          </a:gsLst>
          <a:lin ang="108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Probabilidad de ocurrencia</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etrologiainm.sharepoint.com/sites/OAP/Documentos%20compartidos/SIG/Gesti&#243;n%20del%20riesgo/2024/1.%20Vigente/Matriz%20de%20riesgos%20Aprobaci&#243;n%20CIGD%20# 1 2024-01-25.xlsx" TargetMode="External"/><Relationship Id="rId1" Type="http://schemas.openxmlformats.org/officeDocument/2006/relationships/externalLinkPath" Target="https://metrologiainm.sharepoint.com/sites/OAP/Documentos%20compartidos/SIG/Gesti&#243;n%20del%20riesgo/2024/1.%20Vigente/Matriz%20de%20riesgos%20Aprobaci&#243;n%20CIGD%20# 1 2024-01-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lkpetro\Descargas\Matriz%20de%20riesgos%20RCM.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metrologiainm.sharepoint.com/sites/OAP/Documentos%20compartidos/SIG/Gesti&#243;n%20del%20riesgo/2025/1.%20Vigente/Matriz%20de%20riesgos%20-%20Aprobaci&#243;n%20CIGD%20# 3 2025-03-26VF.xlsx" TargetMode="External"/><Relationship Id="rId1" Type="http://schemas.openxmlformats.org/officeDocument/2006/relationships/externalLinkPath" Target="https://metrologiainm.sharepoint.com/sites/OAP/Documentos%20compartidos/SIG/Gesti&#243;n%20del%20riesgo/2026/1.%20Vigente/Matriz%20de%20riesgos%20-%20Aprobaci&#243;n%20CIGD%20# 3 2025-03-26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NF0cdhVvWkG8gUIRu-NWExynyaae2uNCvcINrl9Gr-U7v6nqwmBWRJFt9IF_sItP" itemId="01RJCLHCTIA3Q4XGAMHRCZQRON6ZO2J7QR">
      <xxl21:absoluteUrl r:id="rId2"/>
    </xxl21:alternateUrls>
    <sheetNames>
      <sheetName val="Control de cambios"/>
      <sheetName val="Seguimiento"/>
      <sheetName val="Mapa de procesos"/>
      <sheetName val=" Inst. Riesgos procesos"/>
      <sheetName val="Matriz Calor Residual"/>
      <sheetName val="Matriz Calor Inherente"/>
      <sheetName val="Tabla probabil."/>
      <sheetName val="Tabla Impacto"/>
      <sheetName val="Tabla Valoración controles"/>
      <sheetName val="Inst. riesgos corrupción"/>
      <sheetName val="Matriz riesgos corrupción"/>
      <sheetName val="ImpCorrup"/>
      <sheetName val="MapaCalor"/>
      <sheetName val="Base corrupción"/>
      <sheetName val="Base de datos procesos"/>
      <sheetName val="Mapa final back up"/>
      <sheetName val="Hoja1"/>
    </sheetNames>
    <sheetDataSet>
      <sheetData sheetId="0"/>
      <sheetData sheetId="1"/>
      <sheetData sheetId="2"/>
      <sheetData sheetId="3"/>
      <sheetData sheetId="4"/>
      <sheetData sheetId="5"/>
      <sheetData sheetId="6"/>
      <sheetData sheetId="7">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dircetiva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sheetData>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 Riesgos procesos"/>
      <sheetName val="Mapa de procesos"/>
      <sheetName val="Matriz Calor Inherente"/>
      <sheetName val="Matriz Calor Residual"/>
      <sheetName val="Tabla probabil."/>
      <sheetName val="Tabla Impacto"/>
      <sheetName val="Tabla Valoración controles"/>
      <sheetName val="Inst. riesgos corrupción"/>
      <sheetName val="Matriz riesgos corrupción"/>
      <sheetName val="ImpCorrup"/>
      <sheetName val="MapaCalor"/>
      <sheetName val="Seguimiento"/>
      <sheetName val="Base corrupción"/>
      <sheetName val="Base de datos procesos"/>
      <sheetName val="Mapa final back up"/>
      <sheetName val="Hoja1"/>
    </sheetNames>
    <sheetDataSet>
      <sheetData sheetId="0"/>
      <sheetData sheetId="1"/>
      <sheetData sheetId="2"/>
      <sheetData sheetId="3"/>
      <sheetData sheetId="4"/>
      <sheetData sheetId="5">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dircetiva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NF0cdhVvWkG8gUIRu-NWExynyaae2uNCvcINrl9Gr-U7v6nqwmBWRJFt9IF_sItP" itemId="01RJCLHCRCMJM7FTG4PFB2SRO726XBB5EG">
      <xxl21:absoluteUrl r:id="rId2"/>
    </xxl21:alternateUrls>
    <sheetNames>
      <sheetName val="Matriz Calor Inherente"/>
      <sheetName val="Matriz Calor Residual"/>
      <sheetName val="Control de cambios"/>
      <sheetName val="Inst. Riesgos de gestión"/>
      <sheetName val="Matriz riesgos de gestión"/>
      <sheetName val="Matriz riesgos fiscales"/>
      <sheetName val="Catálogo puntos riesgo fiscal"/>
      <sheetName val="Inst. riesgos corrupción"/>
      <sheetName val="Matriz riesgos de corrupción"/>
      <sheetName val="ImpCorrup"/>
      <sheetName val="MapaCalor"/>
      <sheetName val="Matriz Calor Inherente SI"/>
      <sheetName val="Matriz Calor Residual SI"/>
      <sheetName val="Inst. Riesgos seguridad Inf."/>
      <sheetName val="Riesgos seguridad información"/>
      <sheetName val="Grupo de activos - SI"/>
      <sheetName val="Seguimiento"/>
      <sheetName val="Tabla Impacto"/>
      <sheetName val="Tabla probabilidad"/>
      <sheetName val="Tabla Valoración controles"/>
      <sheetName val="Base corrupción"/>
      <sheetName val="Mapa final back up"/>
      <sheetName val="Hoja1"/>
      <sheetName val="Base de datos gestión"/>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dircetiva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v>0</v>
          </cell>
        </row>
        <row r="223">
          <cell r="B223" t="str">
            <v>Criterios</v>
          </cell>
        </row>
        <row r="224">
          <cell r="B224" t="str">
            <v>Afectación Económica o presupuestal</v>
          </cell>
          <cell r="F224" t="str">
            <v>❌</v>
          </cell>
        </row>
      </sheetData>
      <sheetData sheetId="18" refreshError="1"/>
      <sheetData sheetId="19" refreshError="1"/>
      <sheetData sheetId="20" refreshError="1"/>
      <sheetData sheetId="21" refreshError="1"/>
      <sheetData sheetId="22" refreshError="1"/>
      <sheetData sheetId="23" refreshError="1">
        <row r="28">
          <cell r="C28" t="str">
            <v>(E-01)
Direccionamiento Estratégico y Planeación</v>
          </cell>
          <cell r="D28" t="e">
            <v>#VALUE!</v>
          </cell>
          <cell r="E28" t="e">
            <v>#VALUE!</v>
          </cell>
        </row>
        <row r="29">
          <cell r="C29" t="str">
            <v>(E-02)
Administración del Sistema Integrado de Gestión</v>
          </cell>
          <cell r="D29" t="e">
            <v>#VALUE!</v>
          </cell>
          <cell r="E29" t="str">
            <v>Aplica para todos los procesos del INM y los requisitos de las normas definidos dentro de la política del Sistema Integrado de Gestión. Inicia con la planificación, termina con la implementacion de acciones y su evaluacion de la eficacia</v>
          </cell>
        </row>
        <row r="30">
          <cell r="C30" t="str">
            <v>(E-03)
Comunicaciones</v>
          </cell>
          <cell r="D30" t="e">
            <v>#VALUE!</v>
          </cell>
          <cell r="E30" t="e">
            <v>#VALUE!</v>
          </cell>
        </row>
        <row r="31">
          <cell r="C31" t="str">
            <v>(E-04)
Servicio al Ciudadano</v>
          </cell>
          <cell r="D31" t="e">
            <v>#VALUE!</v>
          </cell>
          <cell r="E31" t="e">
            <v>#VALUE!</v>
          </cell>
        </row>
        <row r="32">
          <cell r="C32" t="str">
            <v>(E-05)
Gestión de las Tecnologías de la Información</v>
          </cell>
          <cell r="D32" t="e">
            <v>#VALUE!</v>
          </cell>
          <cell r="E32" t="e">
            <v>#VALUE!</v>
          </cell>
        </row>
        <row r="33">
          <cell r="C33" t="str">
            <v>(M-01)
Servicios de Calibración y medición metrológica</v>
          </cell>
          <cell r="D33" t="e">
            <v>#VALUE!</v>
          </cell>
          <cell r="E33" t="e">
            <v>#VALUE!</v>
          </cell>
        </row>
        <row r="34">
          <cell r="C34" t="str">
            <v>(M-02)
Capacitación, Formación y Cultura Metrológica</v>
          </cell>
          <cell r="D34" t="e">
            <v>#VALUE!</v>
          </cell>
          <cell r="E34" t="str">
            <v>Inicia con el establecimiento de los procedimientos y demás documentos del proceso y culmina con la evaluación de la satisfacción de las capacitaciones y la toma de acciones de mejoramiento por parte de los responsables del proceso.</v>
          </cell>
        </row>
        <row r="35">
          <cell r="C35" t="str">
            <v>(M-03)
Producción de Materiales de Referencia y Desarrollo de Métodos Analíticos</v>
          </cell>
          <cell r="D35" t="e">
            <v>#VALUE!</v>
          </cell>
          <cell r="E35" t="e">
            <v>#VALUE!</v>
          </cell>
        </row>
        <row r="36">
          <cell r="C36" t="str">
            <v>(M-04)
Asistencia Técnica</v>
          </cell>
          <cell r="D36" t="e">
            <v>#VALUE!</v>
          </cell>
          <cell r="E36" t="e">
            <v>#VALUE!</v>
          </cell>
        </row>
        <row r="37">
          <cell r="C37" t="str">
            <v>(M-05)
Ensayos de Aptitud</v>
          </cell>
          <cell r="D37" t="e">
            <v>#VALUE!</v>
          </cell>
          <cell r="E37" t="str">
            <v>El proceso inicia con la planificación de los servicios de ensayos de aptitud y estudios colaborativos (comparaciones interlaboratorios) y finaliza con la aplicación de la evaluación de la satisfacción del servicio.</v>
          </cell>
        </row>
        <row r="38">
          <cell r="C38" t="str">
            <v>(M-06)
Red Colombiana de Metrología</v>
          </cell>
          <cell r="D38" t="e">
            <v>#VALUE!</v>
          </cell>
          <cell r="E38" t="e">
            <v>#VALUE!</v>
          </cell>
        </row>
        <row r="39">
          <cell r="C39" t="str">
            <v>(M-07)
Investigación, Desarrollo e Innovación</v>
          </cell>
          <cell r="D39" t="e">
            <v>#VALUE!</v>
          </cell>
          <cell r="E39" t="e">
            <v>#VALUE!</v>
          </cell>
        </row>
        <row r="40">
          <cell r="C40" t="str">
            <v>(M-08)
Gestión de patrones nacionales y sistemas medición</v>
          </cell>
          <cell r="D40" t="e">
            <v>#VALUE!</v>
          </cell>
          <cell r="E40" t="e">
            <v>#VALUE!</v>
          </cell>
        </row>
        <row r="41">
          <cell r="C41" t="str">
            <v>(A-01)
Gestión Financiera</v>
          </cell>
          <cell r="D41" t="e">
            <v>#VALUE!</v>
          </cell>
          <cell r="E41" t="str">
            <v>Inicia desde la desagregación del presupuesto de gastos e ingresos y termina con la gestión del pago y el registro de las operaciones.</v>
          </cell>
        </row>
        <row r="42">
          <cell r="C42" t="str">
            <v>(A-02)
Defensa Judicial</v>
          </cell>
          <cell r="D42" t="e">
            <v>#VALUE!</v>
          </cell>
          <cell r="E42" t="str">
            <v>Inicia desde la ocurrencia del hecho generador de la actuación administrativa o acción extrajudicial (conciliación) o judicial (demanda) hasta la terminación del respectivo proceso judicial o administrativo y/o archivo.</v>
          </cell>
        </row>
        <row r="43">
          <cell r="C43" t="str">
            <v>(A-03)
Gestión Documental</v>
          </cell>
          <cell r="D43" t="e">
            <v>#VALUE!</v>
          </cell>
          <cell r="E43" t="str">
            <v>Inicia desde la producción y/o recepción de los documentos y termina con la eliminación o conservación total en un archivo permanente. Aplica al manejo de toda la documentación en medio de soporte físico o electrónico.</v>
          </cell>
        </row>
        <row r="44">
          <cell r="C44" t="str">
            <v>(A-04)
Gestión de Talento Humano</v>
          </cell>
          <cell r="D44" t="e">
            <v>#VALUE!</v>
          </cell>
          <cell r="E44" t="e">
            <v>#VALUE!</v>
          </cell>
        </row>
        <row r="45">
          <cell r="C45" t="str">
            <v>(A-05)
Gestión Administrativa</v>
          </cell>
          <cell r="D45" t="e">
            <v>#VALUE!</v>
          </cell>
          <cell r="E45" t="str">
            <v>Inicia con los requerimientos institucionales y termina con la atención de las necesidades presentadas por las diferentes áreas del INM.</v>
          </cell>
        </row>
        <row r="46">
          <cell r="C46" t="str">
            <v>(A-06)
Control Disciplinario</v>
          </cell>
          <cell r="D46" t="e">
            <v>#VALUE!</v>
          </cell>
          <cell r="E46" t="str">
            <v>Inicia con una queja, solicitud o informe respecto a la presunta conducta irregular de un servidor público y termina con una decisión inhibitoria, de archivo, absolutoria o sancionatoria.</v>
          </cell>
        </row>
        <row r="47">
          <cell r="C47" t="str">
            <v>(A-07)
Contratación y Adquisición de Bienes y Servicios</v>
          </cell>
          <cell r="D47" t="e">
            <v>#VALUE!</v>
          </cell>
          <cell r="E47" t="str">
            <v>Inicia con la radicación de solicitud de contratación y finaliza con la terminación de la relación contractual.</v>
          </cell>
        </row>
        <row r="48">
          <cell r="C48" t="str">
            <v>(A-08)
Gestión de Servicios Metrológicos</v>
          </cell>
          <cell r="D48" t="e">
            <v>#VALUE!</v>
          </cell>
          <cell r="E48" t="str">
            <v>Inicia con la verificación del cumplimiento de requerimientos de diseño y desarrollo y finaliza con la recepción y entrega del producto o servicio al cliente y la gestión de acciones de mejoramiento originadas de las diferentes fuentes identificadas.</v>
          </cell>
        </row>
        <row r="49">
          <cell r="C49" t="str">
            <v>(C-01)
Evaluación, acompañamiento y asesoría al Sistema de Control Interno</v>
          </cell>
          <cell r="D49" t="e">
            <v>#VALUE!</v>
          </cell>
          <cell r="E49" t="e">
            <v>#VALUE!</v>
          </cell>
        </row>
        <row r="50">
          <cell r="C50" t="str">
            <v>(T)
Transversal</v>
          </cell>
        </row>
      </sheetData>
      <sheetData sheetId="24" refreshError="1"/>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EA" id="{5DC285B6-1527-4B1C-A1BF-EC5D41FF5280}">
    <nsvFilter filterId="{00000000-0001-0000-0100-000000000000}" ref="A3:AN293" tableId="0">
      <columnFilter colId="2">
        <filter colId="2">
          <x:filters>
            <x:filter val="(M-05)_x000a_Ensayos de Aptitud"/>
          </x:filters>
        </filter>
      </columnFilter>
    </nsvFilter>
  </namedSheetView>
  <namedSheetView name="MILE" id="{F4C9BD19-EF64-41BD-ABB9-D68E4A8BFD83}">
    <nsvFilter filterId="{00000000-0001-0000-0100-000000000000}" ref="A3:AN293" tableId="0">
      <columnFilter colId="2">
        <filter colId="2">
          <x:filters>
            <x:filter val="(E-02)_x000a_Administración del Sistema Integrado de Gestión"/>
          </x:filters>
        </filter>
      </columnFilter>
    </nsvFilter>
  </namedSheetView>
  <namedSheetView name="Nubia" id="{9604EA0A-0D7C-4E73-980C-AEE3091A1086}">
    <nsvFilter filterId="{00000000-0001-0000-0100-000000000000}" ref="A3:AN293" tableId="0">
      <columnFilter colId="2">
        <filter colId="2">
          <x:filters>
            <x:filter val="(E-02)_x000a_Administración del Sistema Integrado de Gestión"/>
          </x:filters>
        </filter>
      </columnFilter>
    </nsvFilter>
  </namedSheetView>
  <namedSheetView name="RCM" id="{1EDE4A24-4C18-420D-B121-F23E36173580}">
    <nsvFilter filterId="{00000000-0001-0000-0100-000000000000}" ref="A3:AN293" tableId="0">
      <columnFilter colId="2">
        <filter colId="2">
          <x:filters>
            <x:filter val="(A-08)_x000a_Gestión de Servicios Metrológicos"/>
            <x:filter val="(M-06)_x000a_Red Colombiana de Metrología"/>
          </x:filters>
        </filter>
      </columnFilter>
    </nsvFilter>
  </namedSheetView>
  <namedSheetView name="SSMRC" id="{590A7DED-8CD5-450C-999B-F7F81DA1BFD9}">
    <nsvFilter filterId="{00000000-0001-0000-0100-000000000000}" ref="A3:AN293" tableId="0">
      <columnFilter colId="2">
        <filter colId="2">
          <x:filters>
            <x:filter val="(A-08)_x000a_Gestión de Servicios Metrológicos"/>
            <x:filter val="(E-03)_x000a_Comunicaciones"/>
            <x:filter val="(E-04)_x000a_Servicio al Ciudadano"/>
            <x:filter val="(M-02)_x000a_Capacitación, Formación y Cultura Metrológica"/>
            <x:filter val="(M-04)_x000a_Asistencia Técnica"/>
            <x:filter val="(M-05)_x000a_Ensayos de Aptitud"/>
            <x:filter val="(M-06)_x000a_Red Colombiana de Metrología"/>
            <x:filter val="(M-07)_x000a_Investigación, Desarrollo e Innovación"/>
          </x:filters>
        </filter>
      </columnFilter>
    </nsvFilter>
  </namedSheetView>
  <namedSheetView name="YJPL" id="{B2162B43-1D82-4895-A30C-45AB9B4CB7CD}">
    <nsvFilter filterId="{00000000-0001-0000-0100-000000000000}" ref="A3:AN293" tableId="0">
      <columnFilter colId="2">
        <filter colId="2">
          <x:filters>
            <x:filter val="(E-02)_x000a_Administración del Sistema Integrado de Gestión"/>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SMRC" id="{32E245E5-7AC5-492E-BAF6-04F0238C1099}">
    <nsvFilter filterId="{84155599-DD50-4A8D-AEAD-F509BAAFB31A}" ref="A3:AQ37"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SMRC" id="{32C700C6-2BF9-454A-9959-C9065CA73421}">
    <nsvFilter filterId="{0DBBABEC-4D3A-4185-B14B-59488139C705}" ref="A2:BB106" tableId="0">
      <columnFilter colId="5">
        <filter colId="5">
          <x:filters>
            <x:filter val="(A-08)_x000a_Gestión de Servicios Metrológicos"/>
            <x:filter val="(E-03)_x000a_Comunicaciones"/>
            <x:filter val="(E-04)_x000a_Servicio al Ciudadano"/>
            <x:filter val="(M-02)_x000a_Capacitación, Formación y Cultura Metrológica"/>
            <x:filter val="(M-04)_x000a_Asistencia Técnica"/>
            <x:filter val="(M-05)_x000a_Ensayos de Aptitud"/>
          </x:filters>
        </filter>
      </columnFilter>
    </nsvFilter>
  </namedSheetView>
  <namedSheetView name="Vista 1" id="{E2B6384F-80D4-48AF-921B-CD75B3A4AC09}"/>
</namedSheetViews>
</file>

<file path=xl/persons/person.xml><?xml version="1.0" encoding="utf-8"?>
<personList xmlns="http://schemas.microsoft.com/office/spreadsheetml/2018/threadedcomments" xmlns:x="http://schemas.openxmlformats.org/spreadsheetml/2006/main">
  <person displayName="Linda Karina Petro Martínez" id="{3F310DF2-7D1B-40CE-B1E1-22EC3CFFD71B}" userId="S::lkpetro@inm.gov.co::dada2d6b-d192-4c32-8ab5-c6158b1d5738"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10:C220">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N2" dT="2023-12-27T22:39:53.45" personId="{3F310DF2-7D1B-40CE-B1E1-22EC3CFFD71B}" id="{887E5977-ECAA-4066-ACD7-AFBF733747BB}">
    <text xml:space="preserve">Se relaciona el indicador de proceso. </text>
  </threadedComment>
</ThreadedComments>
</file>

<file path=xl/threadedComments/threadedComment2.xml><?xml version="1.0" encoding="utf-8"?>
<ThreadedComments xmlns="http://schemas.microsoft.com/office/spreadsheetml/2018/threadedcomments" xmlns:x="http://schemas.openxmlformats.org/spreadsheetml/2006/main">
  <threadedComment ref="AO2" dT="2023-12-27T22:39:53.45" personId="{3F310DF2-7D1B-40CE-B1E1-22EC3CFFD71B}" id="{E6B6DB56-6478-49C6-A056-18A318F20E3A}">
    <text xml:space="preserve">Se relaciona el indicador de proceso. </text>
  </threadedComment>
</ThreadedComments>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vmlDrawing" Target="../drawings/vmlDrawing13.v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vmlDrawing" Target="../drawings/vmlDrawing15.v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vmlDrawing" Target="../drawings/vmlDrawing17.vml"/><Relationship Id="rId1" Type="http://schemas.openxmlformats.org/officeDocument/2006/relationships/printerSettings" Target="../printerSettings/printerSettings13.bin"/><Relationship Id="rId5" Type="http://schemas.microsoft.com/office/2019/04/relationships/namedSheetView" Target="../namedSheetViews/namedSheetView3.xm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vmlDrawing" Target="../drawings/vmlDrawing25.vml"/><Relationship Id="rId1" Type="http://schemas.openxmlformats.org/officeDocument/2006/relationships/printerSettings" Target="../printerSettings/printerSettings20.bin"/><Relationship Id="rId4"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vmlDrawing" Target="../drawings/vmlDrawing27.vml"/><Relationship Id="rId1" Type="http://schemas.openxmlformats.org/officeDocument/2006/relationships/printerSettings" Target="../printerSettings/printerSettings21.bin"/><Relationship Id="rId4"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7.bin"/><Relationship Id="rId6" Type="http://schemas.microsoft.com/office/2019/04/relationships/namedSheetView" Target="../namedSheetViews/namedSheetView1.xm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vmlDrawing" Target="../drawings/vmlDrawing10.vml"/><Relationship Id="rId1" Type="http://schemas.openxmlformats.org/officeDocument/2006/relationships/printerSettings" Target="../printerSettings/printerSettings9.bin"/><Relationship Id="rId6" Type="http://schemas.microsoft.com/office/2019/04/relationships/namedSheetView" Target="../namedSheetViews/namedSheetView2.xml"/><Relationship Id="rId5" Type="http://schemas.microsoft.com/office/2017/10/relationships/threadedComment" Target="../threadedComments/threadedComment2.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BI1000"/>
  <sheetViews>
    <sheetView showGridLines="0" zoomScale="40" zoomScaleNormal="40" workbookViewId="0">
      <selection activeCell="R26" sqref="R26:S27"/>
    </sheetView>
  </sheetViews>
  <sheetFormatPr baseColWidth="10" defaultColWidth="12.625" defaultRowHeight="15" customHeight="1" x14ac:dyDescent="0.2"/>
  <cols>
    <col min="1" max="1" width="9.375" customWidth="1"/>
    <col min="2" max="39" width="5" customWidth="1"/>
    <col min="40" max="40" width="9.375" customWidth="1"/>
    <col min="41" max="46" width="5" customWidth="1"/>
    <col min="47" max="61" width="9.375" customWidth="1"/>
  </cols>
  <sheetData>
    <row r="1" spans="1:61" x14ac:dyDescent="0.25">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row>
    <row r="2" spans="1:61" ht="18" customHeight="1" x14ac:dyDescent="0.25">
      <c r="A2" s="115"/>
      <c r="B2" s="676" t="s">
        <v>0</v>
      </c>
      <c r="C2" s="670"/>
      <c r="D2" s="670"/>
      <c r="E2" s="670"/>
      <c r="F2" s="670"/>
      <c r="G2" s="670"/>
      <c r="H2" s="670"/>
      <c r="I2" s="670"/>
      <c r="J2" s="677" t="s">
        <v>1</v>
      </c>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4"/>
      <c r="AN2" s="115"/>
      <c r="AO2" s="115"/>
      <c r="AP2" s="115"/>
      <c r="AQ2" s="115"/>
      <c r="AR2" s="115"/>
      <c r="AS2" s="115"/>
      <c r="AT2" s="115"/>
      <c r="AU2" s="115"/>
      <c r="AV2" s="115"/>
      <c r="AW2" s="115"/>
      <c r="AX2" s="115"/>
      <c r="AY2" s="115"/>
      <c r="AZ2" s="115"/>
      <c r="BA2" s="115"/>
      <c r="BB2" s="115"/>
      <c r="BC2" s="115"/>
      <c r="BD2" s="115"/>
      <c r="BE2" s="115"/>
      <c r="BF2" s="115"/>
      <c r="BG2" s="115"/>
      <c r="BH2" s="115"/>
      <c r="BI2" s="115"/>
    </row>
    <row r="3" spans="1:61" ht="18.75" customHeight="1" x14ac:dyDescent="0.25">
      <c r="A3" s="115"/>
      <c r="B3" s="670"/>
      <c r="C3" s="670"/>
      <c r="D3" s="670"/>
      <c r="E3" s="670"/>
      <c r="F3" s="670"/>
      <c r="G3" s="670"/>
      <c r="H3" s="670"/>
      <c r="I3" s="670"/>
      <c r="J3" s="654"/>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54"/>
      <c r="AN3" s="115"/>
      <c r="AO3" s="115"/>
      <c r="AP3" s="115"/>
      <c r="AQ3" s="115"/>
      <c r="AR3" s="115"/>
      <c r="AS3" s="115"/>
      <c r="AT3" s="115"/>
      <c r="AU3" s="115"/>
      <c r="AV3" s="115"/>
      <c r="AW3" s="115"/>
      <c r="AX3" s="115"/>
      <c r="AY3" s="115"/>
      <c r="AZ3" s="115"/>
      <c r="BA3" s="115"/>
      <c r="BB3" s="115"/>
      <c r="BC3" s="115"/>
      <c r="BD3" s="115"/>
      <c r="BE3" s="115"/>
      <c r="BF3" s="115"/>
      <c r="BG3" s="115"/>
      <c r="BH3" s="115"/>
      <c r="BI3" s="115"/>
    </row>
    <row r="4" spans="1:61" ht="15" customHeight="1" x14ac:dyDescent="0.25">
      <c r="A4" s="115"/>
      <c r="B4" s="670"/>
      <c r="C4" s="670"/>
      <c r="D4" s="670"/>
      <c r="E4" s="670"/>
      <c r="F4" s="670"/>
      <c r="G4" s="670"/>
      <c r="H4" s="670"/>
      <c r="I4" s="670"/>
      <c r="J4" s="654"/>
      <c r="K4" s="654"/>
      <c r="L4" s="654"/>
      <c r="M4" s="654"/>
      <c r="N4" s="654"/>
      <c r="O4" s="654"/>
      <c r="P4" s="654"/>
      <c r="Q4" s="654"/>
      <c r="R4" s="654"/>
      <c r="S4" s="654"/>
      <c r="T4" s="654"/>
      <c r="U4" s="654"/>
      <c r="V4" s="654"/>
      <c r="W4" s="654"/>
      <c r="X4" s="654"/>
      <c r="Y4" s="654"/>
      <c r="Z4" s="654"/>
      <c r="AA4" s="654"/>
      <c r="AB4" s="654"/>
      <c r="AC4" s="654"/>
      <c r="AD4" s="654"/>
      <c r="AE4" s="654"/>
      <c r="AF4" s="654"/>
      <c r="AG4" s="654"/>
      <c r="AH4" s="654"/>
      <c r="AI4" s="654"/>
      <c r="AJ4" s="654"/>
      <c r="AK4" s="654"/>
      <c r="AL4" s="654"/>
      <c r="AM4" s="654"/>
      <c r="AN4" s="115"/>
      <c r="AO4" s="115"/>
      <c r="AP4" s="115"/>
      <c r="AQ4" s="115"/>
      <c r="AR4" s="115"/>
      <c r="AS4" s="115"/>
      <c r="AT4" s="115"/>
      <c r="AU4" s="115"/>
      <c r="AV4" s="115"/>
      <c r="AW4" s="115"/>
      <c r="AX4" s="115"/>
      <c r="AY4" s="115"/>
      <c r="AZ4" s="115"/>
      <c r="BA4" s="115"/>
      <c r="BB4" s="115"/>
      <c r="BC4" s="115"/>
      <c r="BD4" s="115"/>
      <c r="BE4" s="115"/>
      <c r="BF4" s="115"/>
      <c r="BG4" s="115"/>
      <c r="BH4" s="115"/>
      <c r="BI4" s="115"/>
    </row>
    <row r="5" spans="1:61" x14ac:dyDescent="0.25">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row>
    <row r="6" spans="1:61" ht="15" customHeight="1" x14ac:dyDescent="0.25">
      <c r="A6" s="115"/>
      <c r="B6" s="678" t="s">
        <v>2</v>
      </c>
      <c r="C6" s="654"/>
      <c r="D6" s="653"/>
      <c r="E6" s="669" t="s">
        <v>3</v>
      </c>
      <c r="F6" s="656"/>
      <c r="G6" s="656"/>
      <c r="H6" s="656"/>
      <c r="I6" s="657"/>
      <c r="J6" s="658" t="str">
        <f>IF(AND('Matriz riesgos de gestión'!$M$4="Muy Alta",'Matriz riesgos de gestión'!$Q$4="Leve"),CONCATENATE("R",'Matriz riesgos de gestión'!$A$4),"")</f>
        <v/>
      </c>
      <c r="K6" s="656"/>
      <c r="L6" s="660" t="str">
        <f>IF(AND('Matriz riesgos de gestión'!$M$15="Muy Alta",'Matriz riesgos de gestión'!$Q$15="Leve"),CONCATENATE("R",'Matriz riesgos de gestión'!$A$15),"")</f>
        <v/>
      </c>
      <c r="M6" s="656"/>
      <c r="N6" s="660" t="str">
        <f>IF(AND('Matriz riesgos de gestión'!$M$25="Muy Alta",'Matriz riesgos de gestión'!$Q$25="Leve"),CONCATENATE("R",'Matriz riesgos de gestión'!$A$25),"")</f>
        <v/>
      </c>
      <c r="O6" s="657"/>
      <c r="P6" s="658" t="str">
        <f>IF(AND('Matriz riesgos de gestión'!$M$4="Muy Alta",'Matriz riesgos de gestión'!$Q$4="Menor"),CONCATENATE("R",'Matriz riesgos de gestión'!$A$4),"")</f>
        <v/>
      </c>
      <c r="Q6" s="656"/>
      <c r="R6" s="660" t="str">
        <f>IF(AND('Matriz riesgos de gestión'!$M$15="Muy Alta",'Matriz riesgos de gestión'!$Q$15="Menor"),CONCATENATE("R",'Matriz riesgos de gestión'!$A$15),"")</f>
        <v/>
      </c>
      <c r="S6" s="656"/>
      <c r="T6" s="660" t="str">
        <f>IF(AND('Matriz riesgos de gestión'!$M$25="Muy Alta",'Matriz riesgos de gestión'!$Q$25="Menor"),CONCATENATE("R",'Matriz riesgos de gestión'!$A$25),"")</f>
        <v/>
      </c>
      <c r="U6" s="657"/>
      <c r="V6" s="658" t="str">
        <f>IF(AND('Matriz riesgos de gestión'!$M$4="Muy Alta",'Matriz riesgos de gestión'!$Q$4="Moderado"),CONCATENATE("R",'Matriz riesgos de gestión'!$A$4),"")</f>
        <v/>
      </c>
      <c r="W6" s="656"/>
      <c r="X6" s="660" t="str">
        <f>IF(AND('Matriz riesgos de gestión'!$M$15="Muy Alta",'Matriz riesgos de gestión'!$Q$15="Moderado"),CONCATENATE("R",'Matriz riesgos de gestión'!$A$15),"")</f>
        <v/>
      </c>
      <c r="Y6" s="656"/>
      <c r="Z6" s="660" t="str">
        <f>IF(AND('Matriz riesgos de gestión'!$M$25="Muy Alta",'Matriz riesgos de gestión'!$Q$25="Moderado"),CONCATENATE("R",'Matriz riesgos de gestión'!$A$25),"")</f>
        <v/>
      </c>
      <c r="AA6" s="657"/>
      <c r="AB6" s="658" t="str">
        <f>IF(AND('Matriz riesgos de gestión'!$M$4="Muy Alta",'Matriz riesgos de gestión'!$Q$4="Mayor"),CONCATENATE("R",'Matriz riesgos de gestión'!$A$4),"")</f>
        <v/>
      </c>
      <c r="AC6" s="656"/>
      <c r="AD6" s="660" t="str">
        <f>IF(AND('Matriz riesgos de gestión'!$M$15="Muy Alta",'Matriz riesgos de gestión'!$Q$15="Mayor"),CONCATENATE("R",'Matriz riesgos de gestión'!$A$15),"")</f>
        <v/>
      </c>
      <c r="AE6" s="656"/>
      <c r="AF6" s="660" t="str">
        <f>IF(AND('Matriz riesgos de gestión'!$M$25="Muy Alta",'Matriz riesgos de gestión'!$Q$25="Mayor"),CONCATENATE("R",'Matriz riesgos de gestión'!$A$25),"")</f>
        <v/>
      </c>
      <c r="AG6" s="657"/>
      <c r="AH6" s="674" t="str">
        <f>IF(AND('Matriz riesgos de gestión'!$M$4="Muy Alta",'Matriz riesgos de gestión'!$Q$4="Catastrófico"),CONCATENATE("R",'Matriz riesgos de gestión'!$A$4),"")</f>
        <v/>
      </c>
      <c r="AI6" s="656"/>
      <c r="AJ6" s="661" t="str">
        <f>IF(AND('Matriz riesgos de gestión'!$M$15="Muy Alta",'Matriz riesgos de gestión'!$Q$15="Catastrófico"),CONCATENATE("R",'Matriz riesgos de gestión'!$A$15),"")</f>
        <v/>
      </c>
      <c r="AK6" s="656"/>
      <c r="AL6" s="661" t="str">
        <f>IF(AND('Matriz riesgos de gestión'!$M$25="Muy Alta",'Matriz riesgos de gestión'!$Q$25="Catastrófico"),CONCATENATE("R",'Matriz riesgos de gestión'!$A$25),"")</f>
        <v/>
      </c>
      <c r="AM6" s="657"/>
      <c r="AO6" s="681" t="s">
        <v>4</v>
      </c>
      <c r="AP6" s="682"/>
      <c r="AQ6" s="682"/>
      <c r="AR6" s="682"/>
      <c r="AS6" s="682"/>
      <c r="AT6" s="683"/>
      <c r="AU6" s="115"/>
      <c r="AV6" s="115"/>
      <c r="AW6" s="115"/>
      <c r="AX6" s="115"/>
      <c r="AY6" s="115"/>
      <c r="AZ6" s="115"/>
      <c r="BA6" s="115"/>
      <c r="BB6" s="115"/>
      <c r="BC6" s="115"/>
      <c r="BD6" s="115"/>
      <c r="BE6" s="115"/>
      <c r="BF6" s="115"/>
      <c r="BG6" s="115"/>
      <c r="BH6" s="115"/>
      <c r="BI6" s="115"/>
    </row>
    <row r="7" spans="1:61" ht="15" customHeight="1" x14ac:dyDescent="0.25">
      <c r="A7" s="115"/>
      <c r="B7" s="654"/>
      <c r="C7" s="670"/>
      <c r="D7" s="653"/>
      <c r="E7" s="659"/>
      <c r="F7" s="670"/>
      <c r="G7" s="670"/>
      <c r="H7" s="670"/>
      <c r="I7" s="653"/>
      <c r="J7" s="659"/>
      <c r="K7" s="654"/>
      <c r="L7" s="654"/>
      <c r="M7" s="654"/>
      <c r="N7" s="654"/>
      <c r="O7" s="653"/>
      <c r="P7" s="659"/>
      <c r="Q7" s="654"/>
      <c r="R7" s="654"/>
      <c r="S7" s="654"/>
      <c r="T7" s="654"/>
      <c r="U7" s="653"/>
      <c r="V7" s="659"/>
      <c r="W7" s="654"/>
      <c r="X7" s="654"/>
      <c r="Y7" s="654"/>
      <c r="Z7" s="654"/>
      <c r="AA7" s="653"/>
      <c r="AB7" s="659"/>
      <c r="AC7" s="654"/>
      <c r="AD7" s="654"/>
      <c r="AE7" s="654"/>
      <c r="AF7" s="654"/>
      <c r="AG7" s="653"/>
      <c r="AH7" s="659"/>
      <c r="AI7" s="654"/>
      <c r="AJ7" s="654"/>
      <c r="AK7" s="654"/>
      <c r="AL7" s="654"/>
      <c r="AM7" s="653"/>
      <c r="AN7" s="115"/>
      <c r="AO7" s="684"/>
      <c r="AP7" s="670"/>
      <c r="AQ7" s="670"/>
      <c r="AR7" s="670"/>
      <c r="AS7" s="670"/>
      <c r="AT7" s="685"/>
      <c r="AU7" s="115"/>
      <c r="AV7" s="115"/>
      <c r="AW7" s="115"/>
      <c r="AX7" s="115"/>
      <c r="AY7" s="115"/>
      <c r="AZ7" s="115"/>
      <c r="BA7" s="115"/>
      <c r="BB7" s="115"/>
      <c r="BC7" s="115"/>
      <c r="BD7" s="115"/>
      <c r="BE7" s="115"/>
      <c r="BF7" s="115"/>
      <c r="BG7" s="115"/>
      <c r="BH7" s="115"/>
      <c r="BI7" s="115"/>
    </row>
    <row r="8" spans="1:61" ht="15" customHeight="1" x14ac:dyDescent="0.25">
      <c r="A8" s="115"/>
      <c r="B8" s="654"/>
      <c r="C8" s="670"/>
      <c r="D8" s="653"/>
      <c r="E8" s="659"/>
      <c r="F8" s="670"/>
      <c r="G8" s="670"/>
      <c r="H8" s="670"/>
      <c r="I8" s="653"/>
      <c r="J8" s="664" t="str">
        <f>IF(AND('Matriz riesgos de gestión'!$M$32="Muy Alta",'Matriz riesgos de gestión'!$Q$32="Leve"),CONCATENATE("R",'Matriz riesgos de gestión'!$A$32),"")</f>
        <v/>
      </c>
      <c r="K8" s="654"/>
      <c r="L8" s="665" t="str">
        <f>IF(AND('Matriz riesgos de gestión'!$M$38="Muy Alta",'Matriz riesgos de gestión'!$Q$38="Leve"),CONCATENATE("R",'Matriz riesgos de gestión'!$A$38),"")</f>
        <v/>
      </c>
      <c r="M8" s="654"/>
      <c r="N8" s="665" t="str">
        <f>IF(AND('Matriz riesgos de gestión'!$M$44="Muy Alta",'Matriz riesgos de gestión'!$Q$44="Leve"),CONCATENATE("R",'Matriz riesgos de gestión'!$A$44),"")</f>
        <v/>
      </c>
      <c r="O8" s="653"/>
      <c r="P8" s="664" t="str">
        <f>IF(AND('Matriz riesgos de gestión'!$M$32="Muy Alta",'Matriz riesgos de gestión'!$Q$32="Menor"),CONCATENATE("R",'Matriz riesgos de gestión'!$A$32),"")</f>
        <v/>
      </c>
      <c r="Q8" s="654"/>
      <c r="R8" s="665" t="str">
        <f>IF(AND('Matriz riesgos de gestión'!$M$38="Muy Alta",'Matriz riesgos de gestión'!$Q$38="Menor"),CONCATENATE("R",'Matriz riesgos de gestión'!$A$38),"")</f>
        <v/>
      </c>
      <c r="S8" s="654"/>
      <c r="T8" s="665" t="str">
        <f>IF(AND('Matriz riesgos de gestión'!$M$44="Muy Alta",'Matriz riesgos de gestión'!$Q$44="Menor"),CONCATENATE("R",'Matriz riesgos de gestión'!$A$44),"")</f>
        <v/>
      </c>
      <c r="U8" s="653"/>
      <c r="V8" s="664" t="str">
        <f>IF(AND('Matriz riesgos de gestión'!$M$32="Muy Alta",'Matriz riesgos de gestión'!$Q$32="Moderado"),CONCATENATE("R",'Matriz riesgos de gestión'!$A$32),"")</f>
        <v/>
      </c>
      <c r="W8" s="654"/>
      <c r="X8" s="665" t="str">
        <f>IF(AND('Matriz riesgos de gestión'!$M$38="Muy Alta",'Matriz riesgos de gestión'!$Q$38="Moderado"),CONCATENATE("R",'Matriz riesgos de gestión'!$A$38),"")</f>
        <v/>
      </c>
      <c r="Y8" s="654"/>
      <c r="Z8" s="665" t="str">
        <f>IF(AND('Matriz riesgos de gestión'!$M$44="Muy Alta",'Matriz riesgos de gestión'!$Q$44="Moderado"),CONCATENATE("R",'Matriz riesgos de gestión'!$A$44),"")</f>
        <v/>
      </c>
      <c r="AA8" s="653"/>
      <c r="AB8" s="664" t="str">
        <f>IF(AND('Matriz riesgos de gestión'!$M$32="Muy Alta",'Matriz riesgos de gestión'!$Q$32="Mayor"),CONCATENATE("R",'Matriz riesgos de gestión'!$A$32),"")</f>
        <v/>
      </c>
      <c r="AC8" s="654"/>
      <c r="AD8" s="665" t="str">
        <f>IF(AND('Matriz riesgos de gestión'!$M$38="Muy Alta",'Matriz riesgos de gestión'!$Q$38="Mayor"),CONCATENATE("R",'Matriz riesgos de gestión'!$A$38),"")</f>
        <v/>
      </c>
      <c r="AE8" s="654"/>
      <c r="AF8" s="665" t="str">
        <f>IF(AND('Matriz riesgos de gestión'!$M$44="Muy Alta",'Matriz riesgos de gestión'!$Q$44="Mayor"),CONCATENATE("R",'Matriz riesgos de gestión'!$A$44),"")</f>
        <v/>
      </c>
      <c r="AG8" s="653"/>
      <c r="AH8" s="666" t="str">
        <f>IF(AND('Matriz riesgos de gestión'!$M$32="Muy Alta",'Matriz riesgos de gestión'!$Q$32="Catastrófico"),CONCATENATE("R",'Matriz riesgos de gestión'!$A$32),"")</f>
        <v/>
      </c>
      <c r="AI8" s="654"/>
      <c r="AJ8" s="667" t="str">
        <f>IF(AND('Matriz riesgos de gestión'!$M$38="Muy Alta",'Matriz riesgos de gestión'!$Q$38="Catastrófico"),CONCATENATE("R",'Matriz riesgos de gestión'!$A$38),"")</f>
        <v/>
      </c>
      <c r="AK8" s="654"/>
      <c r="AL8" s="667" t="str">
        <f>IF(AND('Matriz riesgos de gestión'!$M$44="Muy Alta",'Matriz riesgos de gestión'!$Q$44="Catastrófico"),CONCATENATE("R",'Matriz riesgos de gestión'!$A$44),"")</f>
        <v/>
      </c>
      <c r="AM8" s="653"/>
      <c r="AN8" s="115"/>
      <c r="AO8" s="684"/>
      <c r="AP8" s="670"/>
      <c r="AQ8" s="670"/>
      <c r="AR8" s="670"/>
      <c r="AS8" s="670"/>
      <c r="AT8" s="685"/>
      <c r="AU8" s="115"/>
      <c r="AV8" s="115"/>
      <c r="AW8" s="115"/>
      <c r="AX8" s="115"/>
      <c r="AY8" s="115"/>
      <c r="AZ8" s="115"/>
      <c r="BA8" s="115"/>
      <c r="BB8" s="115"/>
      <c r="BC8" s="115"/>
      <c r="BD8" s="115"/>
      <c r="BE8" s="115"/>
      <c r="BF8" s="115"/>
      <c r="BG8" s="115"/>
      <c r="BH8" s="115"/>
      <c r="BI8" s="115"/>
    </row>
    <row r="9" spans="1:61" ht="15" customHeight="1" x14ac:dyDescent="0.25">
      <c r="A9" s="115"/>
      <c r="B9" s="654"/>
      <c r="C9" s="670"/>
      <c r="D9" s="653"/>
      <c r="E9" s="659"/>
      <c r="F9" s="670"/>
      <c r="G9" s="670"/>
      <c r="H9" s="670"/>
      <c r="I9" s="653"/>
      <c r="J9" s="659"/>
      <c r="K9" s="654"/>
      <c r="L9" s="654"/>
      <c r="M9" s="654"/>
      <c r="N9" s="654"/>
      <c r="O9" s="653"/>
      <c r="P9" s="659"/>
      <c r="Q9" s="654"/>
      <c r="R9" s="654"/>
      <c r="S9" s="654"/>
      <c r="T9" s="654"/>
      <c r="U9" s="653"/>
      <c r="V9" s="659"/>
      <c r="W9" s="654"/>
      <c r="X9" s="654"/>
      <c r="Y9" s="654"/>
      <c r="Z9" s="654"/>
      <c r="AA9" s="653"/>
      <c r="AB9" s="659"/>
      <c r="AC9" s="654"/>
      <c r="AD9" s="654"/>
      <c r="AE9" s="654"/>
      <c r="AF9" s="654"/>
      <c r="AG9" s="653"/>
      <c r="AH9" s="659"/>
      <c r="AI9" s="654"/>
      <c r="AJ9" s="654"/>
      <c r="AK9" s="654"/>
      <c r="AL9" s="654"/>
      <c r="AM9" s="653"/>
      <c r="AN9" s="115"/>
      <c r="AO9" s="684"/>
      <c r="AP9" s="670"/>
      <c r="AQ9" s="670"/>
      <c r="AR9" s="670"/>
      <c r="AS9" s="670"/>
      <c r="AT9" s="685"/>
      <c r="AU9" s="115"/>
      <c r="AV9" s="115"/>
      <c r="AW9" s="115"/>
      <c r="AX9" s="115"/>
      <c r="AY9" s="115"/>
      <c r="AZ9" s="115"/>
      <c r="BA9" s="115"/>
      <c r="BB9" s="115"/>
      <c r="BC9" s="115"/>
      <c r="BD9" s="115"/>
      <c r="BE9" s="115"/>
      <c r="BF9" s="115"/>
      <c r="BG9" s="115"/>
      <c r="BH9" s="115"/>
      <c r="BI9" s="115"/>
    </row>
    <row r="10" spans="1:61" ht="15" customHeight="1" x14ac:dyDescent="0.25">
      <c r="A10" s="115"/>
      <c r="B10" s="654"/>
      <c r="C10" s="670"/>
      <c r="D10" s="653"/>
      <c r="E10" s="659"/>
      <c r="F10" s="670"/>
      <c r="G10" s="670"/>
      <c r="H10" s="670"/>
      <c r="I10" s="653"/>
      <c r="J10" s="664" t="str">
        <f>IF(AND('Matriz riesgos de gestión'!$M$50="Muy Alta",'Matriz riesgos de gestión'!$Q$50="Leve"),CONCATENATE("R",'Matriz riesgos de gestión'!$A$50),"")</f>
        <v/>
      </c>
      <c r="K10" s="654"/>
      <c r="L10" s="665" t="str">
        <f>IF(AND('Matriz riesgos de gestión'!$M$56="Muy Alta",'Matriz riesgos de gestión'!$Q$56="Leve"),CONCATENATE("R",'Matriz riesgos de gestión'!$A$56),"")</f>
        <v/>
      </c>
      <c r="M10" s="654"/>
      <c r="N10" s="665" t="str">
        <f>IF(AND('Matriz riesgos de gestión'!$M$62="Muy Alta",'Matriz riesgos de gestión'!$Q$62="Leve"),CONCATENATE("R",'Matriz riesgos de gestión'!$A$62),"")</f>
        <v/>
      </c>
      <c r="O10" s="653"/>
      <c r="P10" s="664" t="str">
        <f>IF(AND('Matriz riesgos de gestión'!$M$50="Muy Alta",'Matriz riesgos de gestión'!$Q$50="Menor"),CONCATENATE("R",'Matriz riesgos de gestión'!$A$50),"")</f>
        <v/>
      </c>
      <c r="Q10" s="654"/>
      <c r="R10" s="665" t="str">
        <f>IF(AND('Matriz riesgos de gestión'!$M$56="Muy Alta",'Matriz riesgos de gestión'!$Q$56="Menor"),CONCATENATE("R",'Matriz riesgos de gestión'!$A$56),"")</f>
        <v/>
      </c>
      <c r="S10" s="654"/>
      <c r="T10" s="665" t="str">
        <f>IF(AND('Matriz riesgos de gestión'!$M$62="Muy Alta",'Matriz riesgos de gestión'!$Q$62="Menor"),CONCATENATE("R",'Matriz riesgos de gestión'!$A$62),"")</f>
        <v/>
      </c>
      <c r="U10" s="653"/>
      <c r="V10" s="664" t="str">
        <f>IF(AND('Matriz riesgos de gestión'!$M$50="Muy Alta",'Matriz riesgos de gestión'!$Q$50="Moderado"),CONCATENATE("R",'Matriz riesgos de gestión'!$A$50),"")</f>
        <v/>
      </c>
      <c r="W10" s="654"/>
      <c r="X10" s="665" t="str">
        <f>IF(AND('Matriz riesgos de gestión'!$M$56="Muy Alta",'Matriz riesgos de gestión'!$Q$56="Moderado"),CONCATENATE("R",'Matriz riesgos de gestión'!$A$56),"")</f>
        <v>R27</v>
      </c>
      <c r="Y10" s="654"/>
      <c r="Z10" s="665" t="str">
        <f>IF(AND('Matriz riesgos de gestión'!$M$62="Muy Alta",'Matriz riesgos de gestión'!$Q$62="Moderado"),CONCATENATE("R",'Matriz riesgos de gestión'!$A$62),"")</f>
        <v/>
      </c>
      <c r="AA10" s="653"/>
      <c r="AB10" s="664" t="str">
        <f>IF(AND('Matriz riesgos de gestión'!$M$50="Muy Alta",'Matriz riesgos de gestión'!$Q$50="Mayor"),CONCATENATE("R",'Matriz riesgos de gestión'!$A$50),"")</f>
        <v/>
      </c>
      <c r="AC10" s="654"/>
      <c r="AD10" s="665" t="str">
        <f>IF(AND('Matriz riesgos de gestión'!$M$56="Muy Alta",'Matriz riesgos de gestión'!$Q$56="Mayor"),CONCATENATE("R",'Matriz riesgos de gestión'!$A$56),"")</f>
        <v/>
      </c>
      <c r="AE10" s="654"/>
      <c r="AF10" s="665" t="str">
        <f>IF(AND('Matriz riesgos de gestión'!$M$62="Muy Alta",'Matriz riesgos de gestión'!$Q$62="Mayor"),CONCATENATE("R",'Matriz riesgos de gestión'!$A$62),"")</f>
        <v/>
      </c>
      <c r="AG10" s="653"/>
      <c r="AH10" s="666" t="str">
        <f>IF(AND('Matriz riesgos de gestión'!$M$50="Muy Alta",'Matriz riesgos de gestión'!$Q$50="Catastrófico"),CONCATENATE("R",'Matriz riesgos de gestión'!$A$50),"")</f>
        <v/>
      </c>
      <c r="AI10" s="654"/>
      <c r="AJ10" s="667" t="str">
        <f>IF(AND('Matriz riesgos de gestión'!$M$56="Muy Alta",'Matriz riesgos de gestión'!$Q$56="Catastrófico"),CONCATENATE("R",'Matriz riesgos de gestión'!$A$56),"")</f>
        <v/>
      </c>
      <c r="AK10" s="654"/>
      <c r="AL10" s="667" t="str">
        <f>IF(AND('Matriz riesgos de gestión'!$M$62="Muy Alta",'Matriz riesgos de gestión'!$Q$62="Catastrófico"),CONCATENATE("R",'Matriz riesgos de gestión'!$A$62),"")</f>
        <v/>
      </c>
      <c r="AM10" s="653"/>
      <c r="AN10" s="115"/>
      <c r="AO10" s="684"/>
      <c r="AP10" s="670"/>
      <c r="AQ10" s="670"/>
      <c r="AR10" s="670"/>
      <c r="AS10" s="670"/>
      <c r="AT10" s="685"/>
      <c r="AU10" s="115"/>
      <c r="AV10" s="115"/>
      <c r="AW10" s="115"/>
      <c r="AX10" s="115"/>
      <c r="AY10" s="115"/>
      <c r="AZ10" s="115"/>
      <c r="BA10" s="115"/>
      <c r="BB10" s="115"/>
      <c r="BC10" s="115"/>
      <c r="BD10" s="115"/>
      <c r="BE10" s="115"/>
      <c r="BF10" s="115"/>
      <c r="BG10" s="115"/>
      <c r="BH10" s="115"/>
      <c r="BI10" s="115"/>
    </row>
    <row r="11" spans="1:61" ht="15" customHeight="1" x14ac:dyDescent="0.25">
      <c r="A11" s="115"/>
      <c r="B11" s="654"/>
      <c r="C11" s="670"/>
      <c r="D11" s="653"/>
      <c r="E11" s="659"/>
      <c r="F11" s="670"/>
      <c r="G11" s="670"/>
      <c r="H11" s="670"/>
      <c r="I11" s="653"/>
      <c r="J11" s="659"/>
      <c r="K11" s="654"/>
      <c r="L11" s="654"/>
      <c r="M11" s="654"/>
      <c r="N11" s="654"/>
      <c r="O11" s="653"/>
      <c r="P11" s="659"/>
      <c r="Q11" s="654"/>
      <c r="R11" s="654"/>
      <c r="S11" s="654"/>
      <c r="T11" s="654"/>
      <c r="U11" s="653"/>
      <c r="V11" s="659"/>
      <c r="W11" s="654"/>
      <c r="X11" s="654"/>
      <c r="Y11" s="654"/>
      <c r="Z11" s="654"/>
      <c r="AA11" s="653"/>
      <c r="AB11" s="659"/>
      <c r="AC11" s="654"/>
      <c r="AD11" s="654"/>
      <c r="AE11" s="654"/>
      <c r="AF11" s="654"/>
      <c r="AG11" s="653"/>
      <c r="AH11" s="659"/>
      <c r="AI11" s="654"/>
      <c r="AJ11" s="654"/>
      <c r="AK11" s="654"/>
      <c r="AL11" s="654"/>
      <c r="AM11" s="653"/>
      <c r="AN11" s="115"/>
      <c r="AO11" s="684"/>
      <c r="AP11" s="670"/>
      <c r="AQ11" s="670"/>
      <c r="AR11" s="670"/>
      <c r="AS11" s="670"/>
      <c r="AT11" s="685"/>
      <c r="AU11" s="115"/>
      <c r="AV11" s="115"/>
      <c r="AW11" s="115"/>
      <c r="AX11" s="115"/>
      <c r="AY11" s="115"/>
      <c r="AZ11" s="115"/>
      <c r="BA11" s="115"/>
      <c r="BB11" s="115"/>
      <c r="BC11" s="115"/>
      <c r="BD11" s="115"/>
      <c r="BE11" s="115"/>
      <c r="BF11" s="115"/>
      <c r="BG11" s="115"/>
      <c r="BH11" s="115"/>
      <c r="BI11" s="115"/>
    </row>
    <row r="12" spans="1:61" ht="15" customHeight="1" x14ac:dyDescent="0.25">
      <c r="A12" s="115"/>
      <c r="B12" s="654"/>
      <c r="C12" s="670"/>
      <c r="D12" s="653"/>
      <c r="E12" s="659"/>
      <c r="F12" s="670"/>
      <c r="G12" s="670"/>
      <c r="H12" s="670"/>
      <c r="I12" s="653"/>
      <c r="J12" s="664" t="str">
        <f>IF(AND('Matriz riesgos de gestión'!$M$68="Muy Alta",'Matriz riesgos de gestión'!$Q$68="Leve"),CONCATENATE("R",'Matriz riesgos de gestión'!$A$68),"")</f>
        <v/>
      </c>
      <c r="K12" s="654"/>
      <c r="L12" s="665" t="str">
        <f>IF(AND('Matriz riesgos de gestión'!$M$74="Muy Alta",'Matriz riesgos de gestión'!$Q$74="Leve"),CONCATENATE("R",'Matriz riesgos de gestión'!$A$74),"")</f>
        <v/>
      </c>
      <c r="M12" s="654"/>
      <c r="N12" s="665" t="str">
        <f>IF(AND('Matriz riesgos de gestión'!$M$80="Muy Alta",'Matriz riesgos de gestión'!$Q$80="Leve"),CONCATENATE("R",'Matriz riesgos de gestión'!$A$80),"")</f>
        <v/>
      </c>
      <c r="O12" s="653"/>
      <c r="P12" s="664" t="str">
        <f>IF(AND('Matriz riesgos de gestión'!$M$68="Muy Alta",'Matriz riesgos de gestión'!$Q$68="Menor"),CONCATENATE("R",'Matriz riesgos de gestión'!$A$68),"")</f>
        <v/>
      </c>
      <c r="Q12" s="654"/>
      <c r="R12" s="665" t="str">
        <f>IF(AND('Matriz riesgos de gestión'!$M$74="Muy Alta",'Matriz riesgos de gestión'!$Q$74="Menor"),CONCATENATE("R",'Matriz riesgos de gestión'!$A$74),"")</f>
        <v/>
      </c>
      <c r="S12" s="654"/>
      <c r="T12" s="665" t="str">
        <f>IF(AND('Matriz riesgos de gestión'!$M$80="Muy Alta",'Matriz riesgos de gestión'!$Q$80="Menor"),CONCATENATE("R",'Matriz riesgos de gestión'!$A$80),"")</f>
        <v/>
      </c>
      <c r="U12" s="653"/>
      <c r="V12" s="664" t="str">
        <f>IF(AND('Matriz riesgos de gestión'!$M$68="Muy Alta",'Matriz riesgos de gestión'!$Q$68="Moderado"),CONCATENATE("R",'Matriz riesgos de gestión'!$A$68),"")</f>
        <v/>
      </c>
      <c r="W12" s="654"/>
      <c r="X12" s="665" t="str">
        <f>IF(AND('Matriz riesgos de gestión'!$M$74="Muy Alta",'Matriz riesgos de gestión'!$Q$74="Moderado"),CONCATENATE("R",'Matriz riesgos de gestión'!$A$74),"")</f>
        <v/>
      </c>
      <c r="Y12" s="654"/>
      <c r="Z12" s="665" t="str">
        <f>IF(AND('Matriz riesgos de gestión'!$M$80="Muy Alta",'Matriz riesgos de gestión'!$Q$80="Moderado"),CONCATENATE("R",'Matriz riesgos de gestión'!$A$80),"")</f>
        <v/>
      </c>
      <c r="AA12" s="653"/>
      <c r="AB12" s="664" t="str">
        <f>IF(AND('Matriz riesgos de gestión'!$M$68="Muy Alta",'Matriz riesgos de gestión'!$Q$68="Mayor"),CONCATENATE("R",'Matriz riesgos de gestión'!$A$68),"")</f>
        <v/>
      </c>
      <c r="AC12" s="654"/>
      <c r="AD12" s="665" t="str">
        <f>IF(AND('Matriz riesgos de gestión'!$M$74="Muy Alta",'Matriz riesgos de gestión'!$Q$74="Mayor"),CONCATENATE("R",'Matriz riesgos de gestión'!$A$74),"")</f>
        <v/>
      </c>
      <c r="AE12" s="654"/>
      <c r="AF12" s="665" t="str">
        <f>IF(AND('Matriz riesgos de gestión'!$M$80="Muy Alta",'Matriz riesgos de gestión'!$Q$80="Mayor"),CONCATENATE("R",'Matriz riesgos de gestión'!$A$80),"")</f>
        <v/>
      </c>
      <c r="AG12" s="653"/>
      <c r="AH12" s="666" t="str">
        <f>IF(AND('Matriz riesgos de gestión'!$M$68="Muy Alta",'Matriz riesgos de gestión'!$Q$68="Catastrófico"),CONCATENATE("R",'Matriz riesgos de gestión'!$A$68),"")</f>
        <v/>
      </c>
      <c r="AI12" s="654"/>
      <c r="AJ12" s="667" t="str">
        <f>IF(AND('Matriz riesgos de gestión'!$M$74="Muy Alta",'Matriz riesgos de gestión'!$Q$74="Catastrófico"),CONCATENATE("R",'Matriz riesgos de gestión'!$A$74),"")</f>
        <v/>
      </c>
      <c r="AK12" s="654"/>
      <c r="AL12" s="667" t="str">
        <f>IF(AND('Matriz riesgos de gestión'!$M$80="Muy Alta",'Matriz riesgos de gestión'!$Q$80="Catastrófico"),CONCATENATE("R",'Matriz riesgos de gestión'!$A$80),"")</f>
        <v/>
      </c>
      <c r="AM12" s="653"/>
      <c r="AN12" s="115"/>
      <c r="AO12" s="684"/>
      <c r="AP12" s="670"/>
      <c r="AQ12" s="670"/>
      <c r="AR12" s="670"/>
      <c r="AS12" s="670"/>
      <c r="AT12" s="685"/>
      <c r="AU12" s="115"/>
      <c r="AV12" s="115"/>
      <c r="AW12" s="115"/>
      <c r="AX12" s="115"/>
      <c r="AY12" s="115"/>
      <c r="AZ12" s="115"/>
      <c r="BA12" s="115"/>
      <c r="BB12" s="115"/>
      <c r="BC12" s="115"/>
      <c r="BD12" s="115"/>
      <c r="BE12" s="115"/>
      <c r="BF12" s="115"/>
      <c r="BG12" s="115"/>
      <c r="BH12" s="115"/>
      <c r="BI12" s="115"/>
    </row>
    <row r="13" spans="1:61" ht="15.75" customHeight="1" x14ac:dyDescent="0.25">
      <c r="A13" s="115"/>
      <c r="B13" s="654"/>
      <c r="C13" s="670"/>
      <c r="D13" s="653"/>
      <c r="E13" s="671"/>
      <c r="F13" s="672"/>
      <c r="G13" s="672"/>
      <c r="H13" s="672"/>
      <c r="I13" s="673"/>
      <c r="J13" s="659"/>
      <c r="K13" s="654"/>
      <c r="L13" s="654"/>
      <c r="M13" s="654"/>
      <c r="N13" s="654"/>
      <c r="O13" s="653"/>
      <c r="P13" s="659"/>
      <c r="Q13" s="654"/>
      <c r="R13" s="654"/>
      <c r="S13" s="654"/>
      <c r="T13" s="654"/>
      <c r="U13" s="653"/>
      <c r="V13" s="659"/>
      <c r="W13" s="654"/>
      <c r="X13" s="654"/>
      <c r="Y13" s="654"/>
      <c r="Z13" s="654"/>
      <c r="AA13" s="653"/>
      <c r="AB13" s="659"/>
      <c r="AC13" s="654"/>
      <c r="AD13" s="654"/>
      <c r="AE13" s="654"/>
      <c r="AF13" s="654"/>
      <c r="AG13" s="653"/>
      <c r="AH13" s="671"/>
      <c r="AI13" s="672"/>
      <c r="AJ13" s="672"/>
      <c r="AK13" s="672"/>
      <c r="AL13" s="672"/>
      <c r="AM13" s="673"/>
      <c r="AN13" s="115"/>
      <c r="AO13" s="686"/>
      <c r="AP13" s="687"/>
      <c r="AQ13" s="687"/>
      <c r="AR13" s="687"/>
      <c r="AS13" s="687"/>
      <c r="AT13" s="688"/>
      <c r="AU13" s="115"/>
      <c r="AV13" s="115"/>
      <c r="AW13" s="115"/>
      <c r="AX13" s="115"/>
      <c r="AY13" s="115"/>
      <c r="AZ13" s="115"/>
      <c r="BA13" s="115"/>
      <c r="BB13" s="115"/>
      <c r="BC13" s="115"/>
      <c r="BD13" s="115"/>
      <c r="BE13" s="115"/>
      <c r="BF13" s="115"/>
      <c r="BG13" s="115"/>
      <c r="BH13" s="115"/>
      <c r="BI13" s="115"/>
    </row>
    <row r="14" spans="1:61" ht="15" customHeight="1" x14ac:dyDescent="0.25">
      <c r="A14" s="115"/>
      <c r="B14" s="654"/>
      <c r="C14" s="670"/>
      <c r="D14" s="653"/>
      <c r="E14" s="669" t="s">
        <v>5</v>
      </c>
      <c r="F14" s="656"/>
      <c r="G14" s="656"/>
      <c r="H14" s="656"/>
      <c r="I14" s="656"/>
      <c r="J14" s="668" t="str">
        <f>IF(AND('Matriz riesgos de gestión'!$M$4="Alta",'Matriz riesgos de gestión'!$Q$4="Leve"),CONCATENATE("R",'Matriz riesgos de gestión'!$A$4),"")</f>
        <v/>
      </c>
      <c r="K14" s="656"/>
      <c r="L14" s="655" t="str">
        <f>IF(AND('Matriz riesgos de gestión'!$M$15="Alta",'Matriz riesgos de gestión'!$Q$15="Leve"),CONCATENATE("R",'Matriz riesgos de gestión'!$A$15),"")</f>
        <v/>
      </c>
      <c r="M14" s="656"/>
      <c r="N14" s="655" t="str">
        <f>IF(AND('Matriz riesgos de gestión'!$M$25="Alta",'Matriz riesgos de gestión'!$Q$25="Leve"),CONCATENATE("R",'Matriz riesgos de gestión'!$A$25),"")</f>
        <v/>
      </c>
      <c r="O14" s="657"/>
      <c r="P14" s="668" t="str">
        <f>IF(AND('Matriz riesgos de gestión'!$M$4="Alta",'Matriz riesgos de gestión'!$Q$4="Menor"),CONCATENATE("R",'Matriz riesgos de gestión'!$A$4),"")</f>
        <v/>
      </c>
      <c r="Q14" s="656"/>
      <c r="R14" s="655" t="str">
        <f>IF(AND('Matriz riesgos de gestión'!$M$15="Alta",'Matriz riesgos de gestión'!$Q$15="Menor"),CONCATENATE("R",'Matriz riesgos de gestión'!$A$15),"")</f>
        <v/>
      </c>
      <c r="S14" s="656"/>
      <c r="T14" s="655" t="str">
        <f>IF(AND('Matriz riesgos de gestión'!$M$25="Alta",'Matriz riesgos de gestión'!$Q$25="Menor"),CONCATENATE("R",'Matriz riesgos de gestión'!$A$25),"")</f>
        <v/>
      </c>
      <c r="U14" s="657"/>
      <c r="V14" s="658" t="str">
        <f>IF(AND('Matriz riesgos de gestión'!$M$4="Alta",'Matriz riesgos de gestión'!$Q$4="Moderado"),CONCATENATE("R",'Matriz riesgos de gestión'!$A$4),"")</f>
        <v/>
      </c>
      <c r="W14" s="656"/>
      <c r="X14" s="660" t="str">
        <f>IF(AND('Matriz riesgos de gestión'!$M$15="Alta",'Matriz riesgos de gestión'!$Q$15="Moderado"),CONCATENATE("R",'Matriz riesgos de gestión'!$A$15),"")</f>
        <v/>
      </c>
      <c r="Y14" s="656"/>
      <c r="Z14" s="660" t="str">
        <f>IF(AND('Matriz riesgos de gestión'!$M$25="Alta",'Matriz riesgos de gestión'!$Q$25="Moderado"),CONCATENATE("R",'Matriz riesgos de gestión'!$A$25),"")</f>
        <v/>
      </c>
      <c r="AA14" s="657"/>
      <c r="AB14" s="658" t="str">
        <f>IF(AND('Matriz riesgos de gestión'!$M$4="Alta",'Matriz riesgos de gestión'!$Q$4="Mayor"),CONCATENATE("R",'Matriz riesgos de gestión'!$A$4),"")</f>
        <v/>
      </c>
      <c r="AC14" s="656"/>
      <c r="AD14" s="660" t="str">
        <f>IF(AND('Matriz riesgos de gestión'!$M$15="Alta",'Matriz riesgos de gestión'!$Q$15="Mayor"),CONCATENATE("R",'Matriz riesgos de gestión'!$A$15),"")</f>
        <v/>
      </c>
      <c r="AE14" s="656"/>
      <c r="AF14" s="660" t="str">
        <f>IF(AND('Matriz riesgos de gestión'!$M$25="Alta",'Matriz riesgos de gestión'!$Q$25="Mayor"),CONCATENATE("R",'Matriz riesgos de gestión'!$A$25),"")</f>
        <v/>
      </c>
      <c r="AG14" s="657"/>
      <c r="AH14" s="674" t="str">
        <f>IF(AND('Matriz riesgos de gestión'!$M$4="Alta",'Matriz riesgos de gestión'!$Q$4="Catastrófico"),CONCATENATE("R",'Matriz riesgos de gestión'!$A$4),"")</f>
        <v/>
      </c>
      <c r="AI14" s="656"/>
      <c r="AJ14" s="661" t="str">
        <f>IF(AND('Matriz riesgos de gestión'!$M$15="Alta",'Matriz riesgos de gestión'!$Q$15="Catastrófico"),CONCATENATE("R",'Matriz riesgos de gestión'!$A$15),"")</f>
        <v/>
      </c>
      <c r="AK14" s="656"/>
      <c r="AL14" s="661" t="str">
        <f>IF(AND('Matriz riesgos de gestión'!$M$25="Alta",'Matriz riesgos de gestión'!$Q$25="Catastrófico"),CONCATENATE("R",'Matriz riesgos de gestión'!$A$25),"")</f>
        <v/>
      </c>
      <c r="AM14" s="657"/>
      <c r="AN14" s="115"/>
      <c r="AO14" s="690" t="s">
        <v>6</v>
      </c>
      <c r="AP14" s="682"/>
      <c r="AQ14" s="682"/>
      <c r="AR14" s="682"/>
      <c r="AS14" s="682"/>
      <c r="AT14" s="683"/>
      <c r="AU14" s="115"/>
      <c r="AV14" s="115"/>
      <c r="AW14" s="115"/>
      <c r="AX14" s="115"/>
      <c r="AY14" s="115"/>
      <c r="AZ14" s="115"/>
      <c r="BA14" s="115"/>
      <c r="BB14" s="115"/>
      <c r="BC14" s="115"/>
      <c r="BD14" s="115"/>
      <c r="BE14" s="115"/>
      <c r="BF14" s="115"/>
      <c r="BG14" s="115"/>
      <c r="BH14" s="115"/>
      <c r="BI14" s="115"/>
    </row>
    <row r="15" spans="1:61" ht="15" customHeight="1" x14ac:dyDescent="0.25">
      <c r="A15" s="115"/>
      <c r="B15" s="654"/>
      <c r="C15" s="670"/>
      <c r="D15" s="653"/>
      <c r="E15" s="659"/>
      <c r="F15" s="670"/>
      <c r="G15" s="670"/>
      <c r="H15" s="670"/>
      <c r="I15" s="670"/>
      <c r="J15" s="659"/>
      <c r="K15" s="654"/>
      <c r="L15" s="654"/>
      <c r="M15" s="654"/>
      <c r="N15" s="654"/>
      <c r="O15" s="653"/>
      <c r="P15" s="659"/>
      <c r="Q15" s="654"/>
      <c r="R15" s="654"/>
      <c r="S15" s="654"/>
      <c r="T15" s="654"/>
      <c r="U15" s="653"/>
      <c r="V15" s="659"/>
      <c r="W15" s="654"/>
      <c r="X15" s="654"/>
      <c r="Y15" s="654"/>
      <c r="Z15" s="654"/>
      <c r="AA15" s="653"/>
      <c r="AB15" s="659"/>
      <c r="AC15" s="654"/>
      <c r="AD15" s="654"/>
      <c r="AE15" s="654"/>
      <c r="AF15" s="654"/>
      <c r="AG15" s="653"/>
      <c r="AH15" s="659"/>
      <c r="AI15" s="654"/>
      <c r="AJ15" s="654"/>
      <c r="AK15" s="654"/>
      <c r="AL15" s="654"/>
      <c r="AM15" s="653"/>
      <c r="AN15" s="115"/>
      <c r="AO15" s="684"/>
      <c r="AP15" s="670"/>
      <c r="AQ15" s="670"/>
      <c r="AR15" s="670"/>
      <c r="AS15" s="670"/>
      <c r="AT15" s="685"/>
      <c r="AU15" s="115"/>
      <c r="AV15" s="115"/>
      <c r="AW15" s="115"/>
      <c r="AX15" s="115"/>
      <c r="AY15" s="115"/>
      <c r="AZ15" s="115"/>
      <c r="BA15" s="115"/>
      <c r="BB15" s="115"/>
      <c r="BC15" s="115"/>
      <c r="BD15" s="115"/>
      <c r="BE15" s="115"/>
      <c r="BF15" s="115"/>
      <c r="BG15" s="115"/>
      <c r="BH15" s="115"/>
      <c r="BI15" s="115"/>
    </row>
    <row r="16" spans="1:61" ht="15" customHeight="1" x14ac:dyDescent="0.25">
      <c r="A16" s="115"/>
      <c r="B16" s="654"/>
      <c r="C16" s="670"/>
      <c r="D16" s="653"/>
      <c r="E16" s="659"/>
      <c r="F16" s="670"/>
      <c r="G16" s="670"/>
      <c r="H16" s="670"/>
      <c r="I16" s="670"/>
      <c r="J16" s="663" t="str">
        <f>IF(AND('Matriz riesgos de gestión'!$M$32="Alta",'Matriz riesgos de gestión'!$Q$32="Leve"),CONCATENATE("R",'Matriz riesgos de gestión'!$A$32),"")</f>
        <v/>
      </c>
      <c r="K16" s="654"/>
      <c r="L16" s="652" t="str">
        <f>IF(AND('Matriz riesgos de gestión'!$M$38="Alta",'Matriz riesgos de gestión'!$Q$38="Leve"),CONCATENATE("R",'Matriz riesgos de gestión'!$A$38),"")</f>
        <v/>
      </c>
      <c r="M16" s="654"/>
      <c r="N16" s="652" t="str">
        <f>IF(AND('Matriz riesgos de gestión'!$M$44="Alta",'Matriz riesgos de gestión'!$Q$44="Leve"),CONCATENATE("R",'Matriz riesgos de gestión'!$A$44),"")</f>
        <v/>
      </c>
      <c r="O16" s="653"/>
      <c r="P16" s="663" t="str">
        <f>IF(AND('Matriz riesgos de gestión'!$M$32="Alta",'Matriz riesgos de gestión'!$Q$32="Menor"),CONCATENATE("R",'Matriz riesgos de gestión'!$A$32),"")</f>
        <v/>
      </c>
      <c r="Q16" s="654"/>
      <c r="R16" s="652" t="str">
        <f>IF(AND('Matriz riesgos de gestión'!$M$38="Alta",'Matriz riesgos de gestión'!$Q$38="Menor"),CONCATENATE("R",'Matriz riesgos de gestión'!$A$38),"")</f>
        <v/>
      </c>
      <c r="S16" s="654"/>
      <c r="T16" s="652" t="str">
        <f>IF(AND('Matriz riesgos de gestión'!$M$44="Alta",'Matriz riesgos de gestión'!$Q$44="Menor"),CONCATENATE("R",'Matriz riesgos de gestión'!$A$44),"")</f>
        <v/>
      </c>
      <c r="U16" s="653"/>
      <c r="V16" s="664" t="str">
        <f>IF(AND('Matriz riesgos de gestión'!$M$32="Alta",'Matriz riesgos de gestión'!$Q$32="Moderado"),CONCATENATE("R",'Matriz riesgos de gestión'!$A$32),"")</f>
        <v/>
      </c>
      <c r="W16" s="654"/>
      <c r="X16" s="665" t="str">
        <f>IF(AND('Matriz riesgos de gestión'!$M$38="Alta",'Matriz riesgos de gestión'!$Q$38="Moderado"),CONCATENATE("R",'Matriz riesgos de gestión'!$A$38),"")</f>
        <v/>
      </c>
      <c r="Y16" s="654"/>
      <c r="Z16" s="665" t="str">
        <f>IF(AND('Matriz riesgos de gestión'!$M$44="Alta",'Matriz riesgos de gestión'!$Q$44="Moderado"),CONCATENATE("R",'Matriz riesgos de gestión'!$A$44),"")</f>
        <v>R17</v>
      </c>
      <c r="AA16" s="653"/>
      <c r="AB16" s="664" t="str">
        <f>IF(AND('Matriz riesgos de gestión'!$M$32="Alta",'Matriz riesgos de gestión'!$Q$32="Mayor"),CONCATENATE("R",'Matriz riesgos de gestión'!$A$32),"")</f>
        <v/>
      </c>
      <c r="AC16" s="654"/>
      <c r="AD16" s="665" t="str">
        <f>IF(AND('Matriz riesgos de gestión'!$M$38="Alta",'Matriz riesgos de gestión'!$Q$38="Mayor"),CONCATENATE("R",'Matriz riesgos de gestión'!$A$38),"")</f>
        <v/>
      </c>
      <c r="AE16" s="654"/>
      <c r="AF16" s="665" t="str">
        <f>IF(AND('Matriz riesgos de gestión'!$M$44="Alta",'Matriz riesgos de gestión'!$Q$44="Mayor"),CONCATENATE("R",'Matriz riesgos de gestión'!$A$44),"")</f>
        <v/>
      </c>
      <c r="AG16" s="653"/>
      <c r="AH16" s="666" t="str">
        <f>IF(AND('Matriz riesgos de gestión'!$M$32="Alta",'Matriz riesgos de gestión'!$Q$32="Catastrófico"),CONCATENATE("R",'Matriz riesgos de gestión'!$A$32),"")</f>
        <v/>
      </c>
      <c r="AI16" s="654"/>
      <c r="AJ16" s="667" t="str">
        <f>IF(AND('Matriz riesgos de gestión'!$M$38="Alta",'Matriz riesgos de gestión'!$Q$38="Catastrófico"),CONCATENATE("R",'Matriz riesgos de gestión'!$A$38),"")</f>
        <v/>
      </c>
      <c r="AK16" s="654"/>
      <c r="AL16" s="667" t="str">
        <f>IF(AND('Matriz riesgos de gestión'!$M$44="Alta",'Matriz riesgos de gestión'!$Q$44="Catastrófico"),CONCATENATE("R",'Matriz riesgos de gestión'!$A$44),"")</f>
        <v/>
      </c>
      <c r="AM16" s="653"/>
      <c r="AN16" s="115"/>
      <c r="AO16" s="684"/>
      <c r="AP16" s="670"/>
      <c r="AQ16" s="670"/>
      <c r="AR16" s="670"/>
      <c r="AS16" s="670"/>
      <c r="AT16" s="685"/>
      <c r="AU16" s="115"/>
      <c r="AV16" s="115"/>
      <c r="AW16" s="115"/>
      <c r="AX16" s="115"/>
      <c r="AY16" s="115"/>
      <c r="AZ16" s="115"/>
      <c r="BA16" s="115"/>
      <c r="BB16" s="115"/>
      <c r="BC16" s="115"/>
      <c r="BD16" s="115"/>
      <c r="BE16" s="115"/>
      <c r="BF16" s="115"/>
      <c r="BG16" s="115"/>
      <c r="BH16" s="115"/>
      <c r="BI16" s="115"/>
    </row>
    <row r="17" spans="1:61" ht="15" customHeight="1" x14ac:dyDescent="0.25">
      <c r="A17" s="115"/>
      <c r="B17" s="654"/>
      <c r="C17" s="670"/>
      <c r="D17" s="653"/>
      <c r="E17" s="659"/>
      <c r="F17" s="670"/>
      <c r="G17" s="670"/>
      <c r="H17" s="670"/>
      <c r="I17" s="670"/>
      <c r="J17" s="659"/>
      <c r="K17" s="654"/>
      <c r="L17" s="654"/>
      <c r="M17" s="654"/>
      <c r="N17" s="654"/>
      <c r="O17" s="653"/>
      <c r="P17" s="659"/>
      <c r="Q17" s="654"/>
      <c r="R17" s="654"/>
      <c r="S17" s="654"/>
      <c r="T17" s="654"/>
      <c r="U17" s="653"/>
      <c r="V17" s="659"/>
      <c r="W17" s="654"/>
      <c r="X17" s="654"/>
      <c r="Y17" s="654"/>
      <c r="Z17" s="654"/>
      <c r="AA17" s="653"/>
      <c r="AB17" s="659"/>
      <c r="AC17" s="654"/>
      <c r="AD17" s="654"/>
      <c r="AE17" s="654"/>
      <c r="AF17" s="654"/>
      <c r="AG17" s="653"/>
      <c r="AH17" s="659"/>
      <c r="AI17" s="654"/>
      <c r="AJ17" s="654"/>
      <c r="AK17" s="654"/>
      <c r="AL17" s="654"/>
      <c r="AM17" s="653"/>
      <c r="AN17" s="115"/>
      <c r="AO17" s="684"/>
      <c r="AP17" s="670"/>
      <c r="AQ17" s="670"/>
      <c r="AR17" s="670"/>
      <c r="AS17" s="670"/>
      <c r="AT17" s="685"/>
      <c r="AU17" s="115"/>
      <c r="AV17" s="115"/>
      <c r="AW17" s="115"/>
      <c r="AX17" s="115"/>
      <c r="AY17" s="115"/>
      <c r="AZ17" s="115"/>
      <c r="BA17" s="115"/>
      <c r="BB17" s="115"/>
      <c r="BC17" s="115"/>
      <c r="BD17" s="115"/>
      <c r="BE17" s="115"/>
      <c r="BF17" s="115"/>
      <c r="BG17" s="115"/>
      <c r="BH17" s="115"/>
      <c r="BI17" s="115"/>
    </row>
    <row r="18" spans="1:61" ht="15" customHeight="1" x14ac:dyDescent="0.25">
      <c r="A18" s="115"/>
      <c r="B18" s="654"/>
      <c r="C18" s="670"/>
      <c r="D18" s="653"/>
      <c r="E18" s="659"/>
      <c r="F18" s="670"/>
      <c r="G18" s="670"/>
      <c r="H18" s="670"/>
      <c r="I18" s="670"/>
      <c r="J18" s="663" t="str">
        <f>IF(AND('Matriz riesgos de gestión'!$M$50="Alta",'Matriz riesgos de gestión'!$Q$50="Leve"),CONCATENATE("R",'Matriz riesgos de gestión'!$A$50),"")</f>
        <v/>
      </c>
      <c r="K18" s="654"/>
      <c r="L18" s="652" t="str">
        <f>IF(AND('Matriz riesgos de gestión'!$M$56="Alta",'Matriz riesgos de gestión'!$Q$56="Leve"),CONCATENATE("R",'Matriz riesgos de gestión'!$A$56),"")</f>
        <v/>
      </c>
      <c r="M18" s="654"/>
      <c r="N18" s="652" t="str">
        <f>IF(AND('Matriz riesgos de gestión'!$M$62="Alta",'Matriz riesgos de gestión'!$Q$62="Leve"),CONCATENATE("R",'Matriz riesgos de gestión'!$A$62),"")</f>
        <v/>
      </c>
      <c r="O18" s="653"/>
      <c r="P18" s="663" t="str">
        <f>IF(AND('Matriz riesgos de gestión'!$M$50="Alta",'Matriz riesgos de gestión'!$Q$50="Menor"),CONCATENATE("R",'Matriz riesgos de gestión'!$A$50),"")</f>
        <v/>
      </c>
      <c r="Q18" s="654"/>
      <c r="R18" s="652" t="str">
        <f>IF(AND('Matriz riesgos de gestión'!$M$56="Alta",'Matriz riesgos de gestión'!$Q$56="Menor"),CONCATENATE("R",'Matriz riesgos de gestión'!$A$56),"")</f>
        <v/>
      </c>
      <c r="S18" s="654"/>
      <c r="T18" s="652" t="str">
        <f>IF(AND('Matriz riesgos de gestión'!$M$62="Alta",'Matriz riesgos de gestión'!$Q$62="Menor"),CONCATENATE("R",'Matriz riesgos de gestión'!$A$62),"")</f>
        <v/>
      </c>
      <c r="U18" s="653"/>
      <c r="V18" s="664" t="str">
        <f>IF(AND('Matriz riesgos de gestión'!$M$50="Alta",'Matriz riesgos de gestión'!$Q$50="Moderado"),CONCATENATE("R",'Matriz riesgos de gestión'!$A$50),"")</f>
        <v>R21</v>
      </c>
      <c r="W18" s="654"/>
      <c r="X18" s="665" t="str">
        <f>IF(AND('Matriz riesgos de gestión'!$M$56="Alta",'Matriz riesgos de gestión'!$Q$56="Moderado"),CONCATENATE("R",'Matriz riesgos de gestión'!$A$56),"")</f>
        <v/>
      </c>
      <c r="Y18" s="654"/>
      <c r="Z18" s="665" t="str">
        <f>IF(AND('Matriz riesgos de gestión'!$M$62="Alta",'Matriz riesgos de gestión'!$Q$62="Moderado"),CONCATENATE("R",'Matriz riesgos de gestión'!$A$62),"")</f>
        <v/>
      </c>
      <c r="AA18" s="653"/>
      <c r="AB18" s="664" t="str">
        <f>IF(AND('Matriz riesgos de gestión'!$M$50="Alta",'Matriz riesgos de gestión'!$Q$50="Mayor"),CONCATENATE("R",'Matriz riesgos de gestión'!$A$50),"")</f>
        <v/>
      </c>
      <c r="AC18" s="654"/>
      <c r="AD18" s="665" t="str">
        <f>IF(AND('Matriz riesgos de gestión'!$M$56="Alta",'Matriz riesgos de gestión'!$Q$56="Mayor"),CONCATENATE("R",'Matriz riesgos de gestión'!$A$56),"")</f>
        <v/>
      </c>
      <c r="AE18" s="654"/>
      <c r="AF18" s="665" t="str">
        <f>IF(AND('Matriz riesgos de gestión'!$M$62="Alta",'Matriz riesgos de gestión'!$Q$62="Mayor"),CONCATENATE("R",'Matriz riesgos de gestión'!$A$62),"")</f>
        <v/>
      </c>
      <c r="AG18" s="653"/>
      <c r="AH18" s="666" t="str">
        <f>IF(AND('Matriz riesgos de gestión'!$M$50="Alta",'Matriz riesgos de gestión'!$Q$50="Catastrófico"),CONCATENATE("R",'Matriz riesgos de gestión'!$A$50),"")</f>
        <v/>
      </c>
      <c r="AI18" s="654"/>
      <c r="AJ18" s="667" t="str">
        <f>IF(AND('Matriz riesgos de gestión'!$M$56="Alta",'Matriz riesgos de gestión'!$Q$56="Catastrófico"),CONCATENATE("R",'Matriz riesgos de gestión'!$A$56),"")</f>
        <v/>
      </c>
      <c r="AK18" s="654"/>
      <c r="AL18" s="667" t="str">
        <f>IF(AND('Matriz riesgos de gestión'!$M$62="Alta",'Matriz riesgos de gestión'!$Q$62="Catastrófico"),CONCATENATE("R",'Matriz riesgos de gestión'!$A$62),"")</f>
        <v/>
      </c>
      <c r="AM18" s="653"/>
      <c r="AN18" s="115"/>
      <c r="AO18" s="684"/>
      <c r="AP18" s="670"/>
      <c r="AQ18" s="670"/>
      <c r="AR18" s="670"/>
      <c r="AS18" s="670"/>
      <c r="AT18" s="685"/>
      <c r="AU18" s="115"/>
      <c r="AV18" s="115"/>
      <c r="AW18" s="115"/>
      <c r="AX18" s="115"/>
      <c r="AY18" s="115"/>
      <c r="AZ18" s="115"/>
      <c r="BA18" s="115"/>
      <c r="BB18" s="115"/>
      <c r="BC18" s="115"/>
      <c r="BD18" s="115"/>
      <c r="BE18" s="115"/>
      <c r="BF18" s="115"/>
      <c r="BG18" s="115"/>
      <c r="BH18" s="115"/>
      <c r="BI18" s="115"/>
    </row>
    <row r="19" spans="1:61" ht="15" customHeight="1" x14ac:dyDescent="0.25">
      <c r="A19" s="115"/>
      <c r="B19" s="654"/>
      <c r="C19" s="670"/>
      <c r="D19" s="653"/>
      <c r="E19" s="659"/>
      <c r="F19" s="670"/>
      <c r="G19" s="670"/>
      <c r="H19" s="670"/>
      <c r="I19" s="670"/>
      <c r="J19" s="659"/>
      <c r="K19" s="654"/>
      <c r="L19" s="654"/>
      <c r="M19" s="654"/>
      <c r="N19" s="654"/>
      <c r="O19" s="653"/>
      <c r="P19" s="659"/>
      <c r="Q19" s="654"/>
      <c r="R19" s="654"/>
      <c r="S19" s="654"/>
      <c r="T19" s="654"/>
      <c r="U19" s="653"/>
      <c r="V19" s="659"/>
      <c r="W19" s="654"/>
      <c r="X19" s="654"/>
      <c r="Y19" s="654"/>
      <c r="Z19" s="654"/>
      <c r="AA19" s="653"/>
      <c r="AB19" s="659"/>
      <c r="AC19" s="654"/>
      <c r="AD19" s="654"/>
      <c r="AE19" s="654"/>
      <c r="AF19" s="654"/>
      <c r="AG19" s="653"/>
      <c r="AH19" s="659"/>
      <c r="AI19" s="654"/>
      <c r="AJ19" s="654"/>
      <c r="AK19" s="654"/>
      <c r="AL19" s="654"/>
      <c r="AM19" s="653"/>
      <c r="AN19" s="115"/>
      <c r="AO19" s="684"/>
      <c r="AP19" s="670"/>
      <c r="AQ19" s="670"/>
      <c r="AR19" s="670"/>
      <c r="AS19" s="670"/>
      <c r="AT19" s="685"/>
      <c r="AU19" s="115"/>
      <c r="AV19" s="115"/>
      <c r="AW19" s="115"/>
      <c r="AX19" s="115"/>
      <c r="AY19" s="115"/>
      <c r="AZ19" s="115"/>
      <c r="BA19" s="115"/>
      <c r="BB19" s="115"/>
      <c r="BC19" s="115"/>
      <c r="BD19" s="115"/>
      <c r="BE19" s="115"/>
      <c r="BF19" s="115"/>
      <c r="BG19" s="115"/>
      <c r="BH19" s="115"/>
      <c r="BI19" s="115"/>
    </row>
    <row r="20" spans="1:61" ht="15" customHeight="1" x14ac:dyDescent="0.25">
      <c r="A20" s="115"/>
      <c r="B20" s="654"/>
      <c r="C20" s="670"/>
      <c r="D20" s="653"/>
      <c r="E20" s="659"/>
      <c r="F20" s="670"/>
      <c r="G20" s="670"/>
      <c r="H20" s="670"/>
      <c r="I20" s="670"/>
      <c r="J20" s="663" t="str">
        <f>IF(AND('Matriz riesgos de gestión'!$M$68="Alta",'Matriz riesgos de gestión'!$Q$68="Leve"),CONCATENATE("R",'Matriz riesgos de gestión'!$A$68),"")</f>
        <v/>
      </c>
      <c r="K20" s="654"/>
      <c r="L20" s="652" t="str">
        <f>IF(AND('Matriz riesgos de gestión'!$M$74="Alta",'Matriz riesgos de gestión'!$Q$74="Leve"),CONCATENATE("R",'Matriz riesgos de gestión'!$A$74),"")</f>
        <v/>
      </c>
      <c r="M20" s="654"/>
      <c r="N20" s="652" t="str">
        <f>IF(AND('Matriz riesgos de gestión'!$M$80="Alta",'Matriz riesgos de gestión'!$Q$80="Leve"),CONCATENATE("R",'Matriz riesgos de gestión'!$A$80),"")</f>
        <v/>
      </c>
      <c r="O20" s="653"/>
      <c r="P20" s="663" t="str">
        <f>IF(AND('Matriz riesgos de gestión'!$M$68="Alta",'Matriz riesgos de gestión'!$Q$68="Menor"),CONCATENATE("R",'Matriz riesgos de gestión'!$A$68),"")</f>
        <v/>
      </c>
      <c r="Q20" s="654"/>
      <c r="R20" s="652" t="str">
        <f>IF(AND('Matriz riesgos de gestión'!$M$74="Alta",'Matriz riesgos de gestión'!$Q$74="Menor"),CONCATENATE("R",'Matriz riesgos de gestión'!$A$74),"")</f>
        <v/>
      </c>
      <c r="S20" s="654"/>
      <c r="T20" s="652" t="str">
        <f>IF(AND('Matriz riesgos de gestión'!$M$80="Alta",'Matriz riesgos de gestión'!$Q$80="Menor"),CONCATENATE("R",'Matriz riesgos de gestión'!$A$80),"")</f>
        <v/>
      </c>
      <c r="U20" s="653"/>
      <c r="V20" s="664" t="str">
        <f>IF(AND('Matriz riesgos de gestión'!$M$68="Alta",'Matriz riesgos de gestión'!$Q$68="Moderado"),CONCATENATE("R",'Matriz riesgos de gestión'!$A$68),"")</f>
        <v/>
      </c>
      <c r="W20" s="654"/>
      <c r="X20" s="665" t="str">
        <f>IF(AND('Matriz riesgos de gestión'!$M$74="Alta",'Matriz riesgos de gestión'!$Q$74="Moderado"),CONCATENATE("R",'Matriz riesgos de gestión'!$A$74),"")</f>
        <v/>
      </c>
      <c r="Y20" s="654"/>
      <c r="Z20" s="665" t="str">
        <f>IF(AND('Matriz riesgos de gestión'!$M$80="Alta",'Matriz riesgos de gestión'!$Q$80="Moderado"),CONCATENATE("R",'Matriz riesgos de gestión'!$A$80),"")</f>
        <v/>
      </c>
      <c r="AA20" s="653"/>
      <c r="AB20" s="664" t="str">
        <f>IF(AND('Matriz riesgos de gestión'!$M$68="Alta",'Matriz riesgos de gestión'!$Q$68="Mayor"),CONCATENATE("R",'Matriz riesgos de gestión'!$A$68),"")</f>
        <v/>
      </c>
      <c r="AC20" s="654"/>
      <c r="AD20" s="665" t="str">
        <f>IF(AND('Matriz riesgos de gestión'!$M$74="Alta",'Matriz riesgos de gestión'!$Q$74="Mayor"),CONCATENATE("R",'Matriz riesgos de gestión'!$A$74),"")</f>
        <v/>
      </c>
      <c r="AE20" s="654"/>
      <c r="AF20" s="665" t="str">
        <f>IF(AND('Matriz riesgos de gestión'!$M$80="Alta",'Matriz riesgos de gestión'!$Q$80="Mayor"),CONCATENATE("R",'Matriz riesgos de gestión'!$A$80),"")</f>
        <v/>
      </c>
      <c r="AG20" s="653"/>
      <c r="AH20" s="666" t="str">
        <f>IF(AND('Matriz riesgos de gestión'!$M$68="Alta",'Matriz riesgos de gestión'!$Q$68="Catastrófico"),CONCATENATE("R",'Matriz riesgos de gestión'!$A$68),"")</f>
        <v/>
      </c>
      <c r="AI20" s="654"/>
      <c r="AJ20" s="667" t="str">
        <f>IF(AND('Matriz riesgos de gestión'!$M$74="Alta",'Matriz riesgos de gestión'!$Q$74="Catastrófico"),CONCATENATE("R",'Matriz riesgos de gestión'!$A$74),"")</f>
        <v/>
      </c>
      <c r="AK20" s="654"/>
      <c r="AL20" s="667" t="str">
        <f>IF(AND('Matriz riesgos de gestión'!$M$80="Alta",'Matriz riesgos de gestión'!$Q$80="Catastrófico"),CONCATENATE("R",'Matriz riesgos de gestión'!$A$80),"")</f>
        <v/>
      </c>
      <c r="AM20" s="653"/>
      <c r="AN20" s="115"/>
      <c r="AO20" s="684"/>
      <c r="AP20" s="670"/>
      <c r="AQ20" s="670"/>
      <c r="AR20" s="670"/>
      <c r="AS20" s="670"/>
      <c r="AT20" s="685"/>
      <c r="AU20" s="115"/>
      <c r="AV20" s="115"/>
      <c r="AW20" s="115"/>
      <c r="AX20" s="115"/>
      <c r="AY20" s="115"/>
      <c r="AZ20" s="115"/>
      <c r="BA20" s="115"/>
      <c r="BB20" s="115"/>
      <c r="BC20" s="115"/>
      <c r="BD20" s="115"/>
      <c r="BE20" s="115"/>
      <c r="BF20" s="115"/>
      <c r="BG20" s="115"/>
      <c r="BH20" s="115"/>
      <c r="BI20" s="115"/>
    </row>
    <row r="21" spans="1:61" ht="15.75" customHeight="1" x14ac:dyDescent="0.25">
      <c r="A21" s="115"/>
      <c r="B21" s="654"/>
      <c r="C21" s="670"/>
      <c r="D21" s="653"/>
      <c r="E21" s="671"/>
      <c r="F21" s="672"/>
      <c r="G21" s="672"/>
      <c r="H21" s="672"/>
      <c r="I21" s="672"/>
      <c r="J21" s="671"/>
      <c r="K21" s="672"/>
      <c r="L21" s="672"/>
      <c r="M21" s="672"/>
      <c r="N21" s="672"/>
      <c r="O21" s="673"/>
      <c r="P21" s="671"/>
      <c r="Q21" s="672"/>
      <c r="R21" s="672"/>
      <c r="S21" s="672"/>
      <c r="T21" s="672"/>
      <c r="U21" s="673"/>
      <c r="V21" s="671"/>
      <c r="W21" s="672"/>
      <c r="X21" s="672"/>
      <c r="Y21" s="672"/>
      <c r="Z21" s="672"/>
      <c r="AA21" s="673"/>
      <c r="AB21" s="671"/>
      <c r="AC21" s="672"/>
      <c r="AD21" s="672"/>
      <c r="AE21" s="672"/>
      <c r="AF21" s="672"/>
      <c r="AG21" s="673"/>
      <c r="AH21" s="671"/>
      <c r="AI21" s="672"/>
      <c r="AJ21" s="672"/>
      <c r="AK21" s="672"/>
      <c r="AL21" s="672"/>
      <c r="AM21" s="673"/>
      <c r="AN21" s="115"/>
      <c r="AO21" s="686"/>
      <c r="AP21" s="687"/>
      <c r="AQ21" s="687"/>
      <c r="AR21" s="687"/>
      <c r="AS21" s="687"/>
      <c r="AT21" s="688"/>
      <c r="AU21" s="115"/>
      <c r="AV21" s="115"/>
      <c r="AW21" s="115"/>
      <c r="AX21" s="115"/>
      <c r="AY21" s="115"/>
      <c r="AZ21" s="115"/>
      <c r="BA21" s="115"/>
      <c r="BB21" s="115"/>
      <c r="BC21" s="115"/>
      <c r="BD21" s="115"/>
      <c r="BE21" s="115"/>
      <c r="BF21" s="115"/>
      <c r="BG21" s="115"/>
      <c r="BH21" s="115"/>
      <c r="BI21" s="115"/>
    </row>
    <row r="22" spans="1:61" ht="15.75" customHeight="1" x14ac:dyDescent="0.25">
      <c r="A22" s="115"/>
      <c r="B22" s="654"/>
      <c r="C22" s="670"/>
      <c r="D22" s="653"/>
      <c r="E22" s="669" t="s">
        <v>7</v>
      </c>
      <c r="F22" s="656"/>
      <c r="G22" s="656"/>
      <c r="H22" s="656"/>
      <c r="I22" s="657"/>
      <c r="J22" s="668" t="str">
        <f>IF(AND('Matriz riesgos de gestión'!$M$4="Media",'Matriz riesgos de gestión'!$Q$4="Leve"),CONCATENATE("R",'Matriz riesgos de gestión'!$A$4),"")</f>
        <v/>
      </c>
      <c r="K22" s="656"/>
      <c r="L22" s="655" t="str">
        <f>IF(AND('Matriz riesgos de gestión'!$M$15="Media",'Matriz riesgos de gestión'!$Q$15="Leve"),CONCATENATE("R",'Matriz riesgos de gestión'!$A$15),"")</f>
        <v/>
      </c>
      <c r="M22" s="656"/>
      <c r="N22" s="655" t="str">
        <f>IF(AND('Matriz riesgos de gestión'!$M$25="Media",'Matriz riesgos de gestión'!$Q$25="Leve"),CONCATENATE("R",'Matriz riesgos de gestión'!$A$25),"")</f>
        <v/>
      </c>
      <c r="O22" s="657"/>
      <c r="P22" s="668" t="str">
        <f>IF(AND('Matriz riesgos de gestión'!$M$4="Media",'Matriz riesgos de gestión'!$Q$4="Menor"),CONCATENATE("R",'Matriz riesgos de gestión'!$A$4),"")</f>
        <v>R1</v>
      </c>
      <c r="Q22" s="656"/>
      <c r="R22" s="655" t="str">
        <f>IF(AND('Matriz riesgos de gestión'!$M$15="Media",'Matriz riesgos de gestión'!$Q$15="Menor"),CONCATENATE("R",'Matriz riesgos de gestión'!$A$15),"")</f>
        <v/>
      </c>
      <c r="S22" s="656"/>
      <c r="T22" s="655" t="str">
        <f>IF(AND('Matriz riesgos de gestión'!$M$25="Media",'Matriz riesgos de gestión'!$Q$25="Menor"),CONCATENATE("R",'Matriz riesgos de gestión'!$A$25),"")</f>
        <v/>
      </c>
      <c r="U22" s="657"/>
      <c r="V22" s="668" t="str">
        <f>IF(AND('Matriz riesgos de gestión'!$M$4="Media",'Matriz riesgos de gestión'!$Q$4="Moderado"),CONCATENATE("R",'Matriz riesgos de gestión'!$A$4),"")</f>
        <v/>
      </c>
      <c r="W22" s="656"/>
      <c r="X22" s="655" t="str">
        <f>IF(AND('Matriz riesgos de gestión'!$M$15="Media",'Matriz riesgos de gestión'!$Q$15="Moderado"),CONCATENATE("R",'Matriz riesgos de gestión'!$A$15),"")</f>
        <v/>
      </c>
      <c r="Y22" s="656"/>
      <c r="Z22" s="655" t="str">
        <f>IF(AND('Matriz riesgos de gestión'!$M$25="Media",'Matriz riesgos de gestión'!$Q$25="Moderado"),CONCATENATE("R",'Matriz riesgos de gestión'!$A$25),"")</f>
        <v>R9</v>
      </c>
      <c r="AA22" s="657"/>
      <c r="AB22" s="658" t="str">
        <f>IF(AND('Matriz riesgos de gestión'!$M$4="Media",'Matriz riesgos de gestión'!$Q$4="Mayor"),CONCATENATE("R",'Matriz riesgos de gestión'!$A$4),"")</f>
        <v/>
      </c>
      <c r="AC22" s="656"/>
      <c r="AD22" s="660" t="str">
        <f>IF(AND('Matriz riesgos de gestión'!$M$15="Media",'Matriz riesgos de gestión'!$Q$15="Mayor"),CONCATENATE("R",'Matriz riesgos de gestión'!$A$15),"")</f>
        <v>R6</v>
      </c>
      <c r="AE22" s="656"/>
      <c r="AF22" s="660" t="str">
        <f>IF(AND('Matriz riesgos de gestión'!$M$25="Media",'Matriz riesgos de gestión'!$Q$25="Mayor"),CONCATENATE("R",'Matriz riesgos de gestión'!$A$25),"")</f>
        <v/>
      </c>
      <c r="AG22" s="657"/>
      <c r="AH22" s="674" t="str">
        <f>IF(AND('Matriz riesgos de gestión'!$M$4="Media",'Matriz riesgos de gestión'!$Q$4="Catastrófico"),CONCATENATE("R",'Matriz riesgos de gestión'!$A$4),"")</f>
        <v/>
      </c>
      <c r="AI22" s="656"/>
      <c r="AJ22" s="661" t="str">
        <f>IF(AND('Matriz riesgos de gestión'!$M$15="Media",'Matriz riesgos de gestión'!$Q$15="Catastrófico"),CONCATENATE("R",'Matriz riesgos de gestión'!$A$15),"")</f>
        <v/>
      </c>
      <c r="AK22" s="656"/>
      <c r="AL22" s="661" t="str">
        <f>IF(AND('Matriz riesgos de gestión'!$M$25="Media",'Matriz riesgos de gestión'!$Q$25="Catastrófico"),CONCATENATE("R",'Matriz riesgos de gestión'!$A$25),"")</f>
        <v/>
      </c>
      <c r="AM22" s="657"/>
      <c r="AN22" s="115"/>
      <c r="AO22" s="691" t="s">
        <v>8</v>
      </c>
      <c r="AP22" s="682"/>
      <c r="AQ22" s="682"/>
      <c r="AR22" s="682"/>
      <c r="AS22" s="682"/>
      <c r="AT22" s="683"/>
      <c r="AU22" s="115"/>
      <c r="AV22" s="115"/>
      <c r="AW22" s="115"/>
      <c r="AX22" s="115"/>
      <c r="AY22" s="115"/>
      <c r="AZ22" s="115"/>
      <c r="BA22" s="115"/>
      <c r="BB22" s="115"/>
      <c r="BC22" s="115"/>
      <c r="BD22" s="115"/>
      <c r="BE22" s="115"/>
      <c r="BF22" s="115"/>
      <c r="BG22" s="115"/>
      <c r="BH22" s="115"/>
      <c r="BI22" s="115"/>
    </row>
    <row r="23" spans="1:61" ht="15.75" customHeight="1" x14ac:dyDescent="0.25">
      <c r="A23" s="115"/>
      <c r="B23" s="654"/>
      <c r="C23" s="670"/>
      <c r="D23" s="653"/>
      <c r="E23" s="659"/>
      <c r="F23" s="670"/>
      <c r="G23" s="670"/>
      <c r="H23" s="670"/>
      <c r="I23" s="653"/>
      <c r="J23" s="659"/>
      <c r="K23" s="654"/>
      <c r="L23" s="654"/>
      <c r="M23" s="654"/>
      <c r="N23" s="654"/>
      <c r="O23" s="653"/>
      <c r="P23" s="659"/>
      <c r="Q23" s="654"/>
      <c r="R23" s="654"/>
      <c r="S23" s="654"/>
      <c r="T23" s="654"/>
      <c r="U23" s="653"/>
      <c r="V23" s="659"/>
      <c r="W23" s="654"/>
      <c r="X23" s="654"/>
      <c r="Y23" s="654"/>
      <c r="Z23" s="654"/>
      <c r="AA23" s="653"/>
      <c r="AB23" s="659"/>
      <c r="AC23" s="654"/>
      <c r="AD23" s="654"/>
      <c r="AE23" s="654"/>
      <c r="AF23" s="654"/>
      <c r="AG23" s="653"/>
      <c r="AH23" s="659"/>
      <c r="AI23" s="654"/>
      <c r="AJ23" s="654"/>
      <c r="AK23" s="654"/>
      <c r="AL23" s="654"/>
      <c r="AM23" s="653"/>
      <c r="AN23" s="115"/>
      <c r="AO23" s="684"/>
      <c r="AP23" s="670"/>
      <c r="AQ23" s="670"/>
      <c r="AR23" s="670"/>
      <c r="AS23" s="670"/>
      <c r="AT23" s="685"/>
      <c r="AU23" s="115"/>
      <c r="AV23" s="115"/>
      <c r="AW23" s="115"/>
      <c r="AX23" s="115"/>
      <c r="AY23" s="115"/>
      <c r="AZ23" s="115"/>
      <c r="BA23" s="115"/>
      <c r="BB23" s="115"/>
      <c r="BC23" s="115"/>
      <c r="BD23" s="115"/>
      <c r="BE23" s="115"/>
      <c r="BF23" s="115"/>
      <c r="BG23" s="115"/>
      <c r="BH23" s="115"/>
      <c r="BI23" s="115"/>
    </row>
    <row r="24" spans="1:61" ht="15.75" customHeight="1" x14ac:dyDescent="0.25">
      <c r="A24" s="115"/>
      <c r="B24" s="654"/>
      <c r="C24" s="670"/>
      <c r="D24" s="653"/>
      <c r="E24" s="659"/>
      <c r="F24" s="670"/>
      <c r="G24" s="670"/>
      <c r="H24" s="670"/>
      <c r="I24" s="653"/>
      <c r="J24" s="663" t="str">
        <f>IF(AND('Matriz riesgos de gestión'!$M$32="Media",'Matriz riesgos de gestión'!$Q$32="Leve"),CONCATENATE("R",'Matriz riesgos de gestión'!$A$32),"")</f>
        <v/>
      </c>
      <c r="K24" s="654"/>
      <c r="L24" s="652" t="str">
        <f>IF(AND('Matriz riesgos de gestión'!$M$38="Media",'Matriz riesgos de gestión'!$Q$38="Leve"),CONCATENATE("R",'Matriz riesgos de gestión'!$A$38),"")</f>
        <v/>
      </c>
      <c r="M24" s="654"/>
      <c r="N24" s="652" t="str">
        <f>IF(AND('Matriz riesgos de gestión'!$M$44="Media",'Matriz riesgos de gestión'!$Q$44="Leve"),CONCATENATE("R",'Matriz riesgos de gestión'!$A$44),"")</f>
        <v/>
      </c>
      <c r="O24" s="653"/>
      <c r="P24" s="663" t="str">
        <f>IF(AND('Matriz riesgos de gestión'!$M$32="Media",'Matriz riesgos de gestión'!$Q$32="Menor"),CONCATENATE("R",'Matriz riesgos de gestión'!$A$32),"")</f>
        <v/>
      </c>
      <c r="Q24" s="654"/>
      <c r="R24" s="652" t="str">
        <f>IF(AND('Matriz riesgos de gestión'!$M$38="Media",'Matriz riesgos de gestión'!$Q$38="Menor"),CONCATENATE("R",'Matriz riesgos de gestión'!$A$38),"")</f>
        <v/>
      </c>
      <c r="S24" s="654"/>
      <c r="T24" s="652" t="str">
        <f>IF(AND('Matriz riesgos de gestión'!$M$44="Media",'Matriz riesgos de gestión'!$Q$44="Menor"),CONCATENATE("R",'Matriz riesgos de gestión'!$A$44),"")</f>
        <v/>
      </c>
      <c r="U24" s="653"/>
      <c r="V24" s="663" t="str">
        <f>IF(AND('Matriz riesgos de gestión'!$M$32="Media",'Matriz riesgos de gestión'!$Q$32="Moderado"),CONCATENATE("R",'Matriz riesgos de gestión'!$A$32),"")</f>
        <v/>
      </c>
      <c r="W24" s="654"/>
      <c r="X24" s="652" t="str">
        <f>IF(AND('Matriz riesgos de gestión'!$M$38="Media",'Matriz riesgos de gestión'!$Q$38="Moderado"),CONCATENATE("R",'Matriz riesgos de gestión'!$A$38),"")</f>
        <v>R14</v>
      </c>
      <c r="Y24" s="654"/>
      <c r="Z24" s="652" t="str">
        <f>IF(AND('Matriz riesgos de gestión'!$M$44="Media",'Matriz riesgos de gestión'!$Q$44="Moderado"),CONCATENATE("R",'Matriz riesgos de gestión'!$A$44),"")</f>
        <v/>
      </c>
      <c r="AA24" s="653"/>
      <c r="AB24" s="664" t="str">
        <f>IF(AND('Matriz riesgos de gestión'!$M$32="Media",'Matriz riesgos de gestión'!$Q$32="Mayor"),CONCATENATE("R",'Matriz riesgos de gestión'!$A$32),"")</f>
        <v/>
      </c>
      <c r="AC24" s="654"/>
      <c r="AD24" s="665" t="str">
        <f>IF(AND('Matriz riesgos de gestión'!$M$38="Media",'Matriz riesgos de gestión'!$Q$38="Mayor"),CONCATENATE("R",'Matriz riesgos de gestión'!$A$38),"")</f>
        <v/>
      </c>
      <c r="AE24" s="654"/>
      <c r="AF24" s="665" t="str">
        <f>IF(AND('Matriz riesgos de gestión'!$M$44="Media",'Matriz riesgos de gestión'!$Q$44="Mayor"),CONCATENATE("R",'Matriz riesgos de gestión'!$A$44),"")</f>
        <v/>
      </c>
      <c r="AG24" s="653"/>
      <c r="AH24" s="666" t="str">
        <f>IF(AND('Matriz riesgos de gestión'!$M$32="Media",'Matriz riesgos de gestión'!$Q$32="Catastrófico"),CONCATENATE("R",'Matriz riesgos de gestión'!$A$32),"")</f>
        <v/>
      </c>
      <c r="AI24" s="654"/>
      <c r="AJ24" s="667" t="str">
        <f>IF(AND('Matriz riesgos de gestión'!$M$38="Media",'Matriz riesgos de gestión'!$Q$38="Catastrófico"),CONCATENATE("R",'Matriz riesgos de gestión'!$A$38),"")</f>
        <v/>
      </c>
      <c r="AK24" s="654"/>
      <c r="AL24" s="667" t="str">
        <f>IF(AND('Matriz riesgos de gestión'!$M$44="Media",'Matriz riesgos de gestión'!$Q$44="Catastrófico"),CONCATENATE("R",'Matriz riesgos de gestión'!$A$44),"")</f>
        <v/>
      </c>
      <c r="AM24" s="653"/>
      <c r="AN24" s="115"/>
      <c r="AO24" s="684"/>
      <c r="AP24" s="670"/>
      <c r="AQ24" s="670"/>
      <c r="AR24" s="670"/>
      <c r="AS24" s="670"/>
      <c r="AT24" s="685"/>
      <c r="AU24" s="115"/>
      <c r="AV24" s="115"/>
      <c r="AW24" s="115"/>
      <c r="AX24" s="115"/>
      <c r="AY24" s="115"/>
      <c r="AZ24" s="115"/>
      <c r="BA24" s="115"/>
      <c r="BB24" s="115"/>
      <c r="BC24" s="115"/>
      <c r="BD24" s="115"/>
      <c r="BE24" s="115"/>
      <c r="BF24" s="115"/>
      <c r="BG24" s="115"/>
      <c r="BH24" s="115"/>
      <c r="BI24" s="115"/>
    </row>
    <row r="25" spans="1:61" ht="15.75" customHeight="1" x14ac:dyDescent="0.25">
      <c r="A25" s="115"/>
      <c r="B25" s="654"/>
      <c r="C25" s="670"/>
      <c r="D25" s="653"/>
      <c r="E25" s="659"/>
      <c r="F25" s="670"/>
      <c r="G25" s="670"/>
      <c r="H25" s="670"/>
      <c r="I25" s="653"/>
      <c r="J25" s="659"/>
      <c r="K25" s="654"/>
      <c r="L25" s="654"/>
      <c r="M25" s="654"/>
      <c r="N25" s="654"/>
      <c r="O25" s="653"/>
      <c r="P25" s="659"/>
      <c r="Q25" s="654"/>
      <c r="R25" s="654"/>
      <c r="S25" s="654"/>
      <c r="T25" s="654"/>
      <c r="U25" s="653"/>
      <c r="V25" s="659"/>
      <c r="W25" s="654"/>
      <c r="X25" s="654"/>
      <c r="Y25" s="654"/>
      <c r="Z25" s="654"/>
      <c r="AA25" s="653"/>
      <c r="AB25" s="659"/>
      <c r="AC25" s="654"/>
      <c r="AD25" s="654"/>
      <c r="AE25" s="654"/>
      <c r="AF25" s="654"/>
      <c r="AG25" s="653"/>
      <c r="AH25" s="659"/>
      <c r="AI25" s="654"/>
      <c r="AJ25" s="654"/>
      <c r="AK25" s="654"/>
      <c r="AL25" s="654"/>
      <c r="AM25" s="653"/>
      <c r="AN25" s="115"/>
      <c r="AO25" s="684"/>
      <c r="AP25" s="670"/>
      <c r="AQ25" s="670"/>
      <c r="AR25" s="670"/>
      <c r="AS25" s="670"/>
      <c r="AT25" s="685"/>
      <c r="AU25" s="115"/>
      <c r="AV25" s="115"/>
      <c r="AW25" s="115"/>
      <c r="AX25" s="115"/>
      <c r="AY25" s="115"/>
      <c r="AZ25" s="115"/>
      <c r="BA25" s="115"/>
      <c r="BB25" s="115"/>
      <c r="BC25" s="115"/>
      <c r="BD25" s="115"/>
      <c r="BE25" s="115"/>
      <c r="BF25" s="115"/>
      <c r="BG25" s="115"/>
      <c r="BH25" s="115"/>
      <c r="BI25" s="115"/>
    </row>
    <row r="26" spans="1:61" ht="15.75" customHeight="1" x14ac:dyDescent="0.25">
      <c r="A26" s="115"/>
      <c r="B26" s="654"/>
      <c r="C26" s="670"/>
      <c r="D26" s="653"/>
      <c r="E26" s="659"/>
      <c r="F26" s="670"/>
      <c r="G26" s="670"/>
      <c r="H26" s="670"/>
      <c r="I26" s="653"/>
      <c r="J26" s="663" t="str">
        <f>IF(AND('Matriz riesgos de gestión'!$M$50="Media",'Matriz riesgos de gestión'!$Q$50="Leve"),CONCATENATE("R",'Matriz riesgos de gestión'!$A$50),"")</f>
        <v/>
      </c>
      <c r="K26" s="654"/>
      <c r="L26" s="652" t="str">
        <f>IF(AND('Matriz riesgos de gestión'!$M$56="Media",'Matriz riesgos de gestión'!$Q$56="Leve"),CONCATENATE("R",'Matriz riesgos de gestión'!$A$56),"")</f>
        <v/>
      </c>
      <c r="M26" s="654"/>
      <c r="N26" s="652" t="str">
        <f>IF(AND('Matriz riesgos de gestión'!$M$62="Media",'Matriz riesgos de gestión'!$Q$62="Leve"),CONCATENATE("R",'Matriz riesgos de gestión'!$A$62),"")</f>
        <v/>
      </c>
      <c r="O26" s="653"/>
      <c r="P26" s="663" t="str">
        <f>IF(AND('Matriz riesgos de gestión'!$M$50="Media",'Matriz riesgos de gestión'!$Q$50="Menor"),CONCATENATE("R",'Matriz riesgos de gestión'!$A$50),"")</f>
        <v/>
      </c>
      <c r="Q26" s="654"/>
      <c r="R26" s="652" t="str">
        <f>IF(AND('Matriz riesgos de gestión'!$M$56="Media",'Matriz riesgos de gestión'!$Q$56="Menor"),CONCATENATE("R",'Matriz riesgos de gestión'!$A$56),"")</f>
        <v/>
      </c>
      <c r="S26" s="654"/>
      <c r="T26" s="652" t="str">
        <f>IF(AND('Matriz riesgos de gestión'!$M$62="Media",'Matriz riesgos de gestión'!$Q$62="Menor"),CONCATENATE("R",'Matriz riesgos de gestión'!$A$62),"")</f>
        <v/>
      </c>
      <c r="U26" s="653"/>
      <c r="V26" s="663" t="str">
        <f>IF(AND('Matriz riesgos de gestión'!$M$50="Media",'Matriz riesgos de gestión'!$Q$50="Moderado"),CONCATENATE("R",'Matriz riesgos de gestión'!$A$50),"")</f>
        <v/>
      </c>
      <c r="W26" s="654"/>
      <c r="X26" s="652" t="str">
        <f>IF(AND('Matriz riesgos de gestión'!$M$56="Media",'Matriz riesgos de gestión'!$Q$56="Moderado"),CONCATENATE("R",'Matriz riesgos de gestión'!$A$56),"")</f>
        <v/>
      </c>
      <c r="Y26" s="654"/>
      <c r="Z26" s="652" t="str">
        <f>IF(AND('Matriz riesgos de gestión'!$M$62="Media",'Matriz riesgos de gestión'!$Q$62="Moderado"),CONCATENATE("R",'Matriz riesgos de gestión'!$A$62),"")</f>
        <v>R30</v>
      </c>
      <c r="AA26" s="653"/>
      <c r="AB26" s="664" t="str">
        <f>IF(AND('Matriz riesgos de gestión'!$M$50="Media",'Matriz riesgos de gestión'!$Q$50="Mayor"),CONCATENATE("R",'Matriz riesgos de gestión'!$A$50),"")</f>
        <v/>
      </c>
      <c r="AC26" s="654"/>
      <c r="AD26" s="665" t="str">
        <f>IF(AND('Matriz riesgos de gestión'!$M$56="Media",'Matriz riesgos de gestión'!$Q$56="Mayor"),CONCATENATE("R",'Matriz riesgos de gestión'!$A$56),"")</f>
        <v/>
      </c>
      <c r="AE26" s="654"/>
      <c r="AF26" s="665" t="str">
        <f>IF(AND('Matriz riesgos de gestión'!$M$62="Media",'Matriz riesgos de gestión'!$Q$62="Mayor"),CONCATENATE("R",'Matriz riesgos de gestión'!$A$62),"")</f>
        <v/>
      </c>
      <c r="AG26" s="653"/>
      <c r="AH26" s="666" t="str">
        <f>IF(AND('Matriz riesgos de gestión'!$M$50="Media",'Matriz riesgos de gestión'!$Q$50="Catastrófico"),CONCATENATE("R",'Matriz riesgos de gestión'!$A$50),"")</f>
        <v/>
      </c>
      <c r="AI26" s="654"/>
      <c r="AJ26" s="667" t="str">
        <f>IF(AND('Matriz riesgos de gestión'!$M$56="Media",'Matriz riesgos de gestión'!$Q$56="Catastrófico"),CONCATENATE("R",'Matriz riesgos de gestión'!$A$56),"")</f>
        <v/>
      </c>
      <c r="AK26" s="654"/>
      <c r="AL26" s="667" t="str">
        <f>IF(AND('Matriz riesgos de gestión'!$M$62="Media",'Matriz riesgos de gestión'!$Q$62="Catastrófico"),CONCATENATE("R",'Matriz riesgos de gestión'!$A$62),"")</f>
        <v/>
      </c>
      <c r="AM26" s="653"/>
      <c r="AN26" s="115"/>
      <c r="AO26" s="684"/>
      <c r="AP26" s="670"/>
      <c r="AQ26" s="670"/>
      <c r="AR26" s="670"/>
      <c r="AS26" s="670"/>
      <c r="AT26" s="685"/>
      <c r="AU26" s="115"/>
      <c r="AV26" s="115"/>
      <c r="AW26" s="115"/>
      <c r="AX26" s="115"/>
      <c r="AY26" s="115"/>
      <c r="AZ26" s="115"/>
      <c r="BA26" s="115"/>
      <c r="BB26" s="115"/>
      <c r="BC26" s="115"/>
      <c r="BD26" s="115"/>
      <c r="BE26" s="115"/>
      <c r="BF26" s="115"/>
      <c r="BG26" s="115"/>
      <c r="BH26" s="115"/>
      <c r="BI26" s="115"/>
    </row>
    <row r="27" spans="1:61" ht="15.75" customHeight="1" x14ac:dyDescent="0.25">
      <c r="A27" s="115"/>
      <c r="B27" s="654"/>
      <c r="C27" s="670"/>
      <c r="D27" s="653"/>
      <c r="E27" s="659"/>
      <c r="F27" s="670"/>
      <c r="G27" s="670"/>
      <c r="H27" s="670"/>
      <c r="I27" s="653"/>
      <c r="J27" s="659"/>
      <c r="K27" s="654"/>
      <c r="L27" s="654"/>
      <c r="M27" s="654"/>
      <c r="N27" s="654"/>
      <c r="O27" s="653"/>
      <c r="P27" s="659"/>
      <c r="Q27" s="654"/>
      <c r="R27" s="654"/>
      <c r="S27" s="654"/>
      <c r="T27" s="654"/>
      <c r="U27" s="653"/>
      <c r="V27" s="659"/>
      <c r="W27" s="654"/>
      <c r="X27" s="654"/>
      <c r="Y27" s="654"/>
      <c r="Z27" s="654"/>
      <c r="AA27" s="653"/>
      <c r="AB27" s="659"/>
      <c r="AC27" s="654"/>
      <c r="AD27" s="654"/>
      <c r="AE27" s="654"/>
      <c r="AF27" s="654"/>
      <c r="AG27" s="653"/>
      <c r="AH27" s="659"/>
      <c r="AI27" s="654"/>
      <c r="AJ27" s="654"/>
      <c r="AK27" s="654"/>
      <c r="AL27" s="654"/>
      <c r="AM27" s="653"/>
      <c r="AN27" s="115"/>
      <c r="AO27" s="684"/>
      <c r="AP27" s="670"/>
      <c r="AQ27" s="670"/>
      <c r="AR27" s="670"/>
      <c r="AS27" s="670"/>
      <c r="AT27" s="685"/>
      <c r="AU27" s="115"/>
      <c r="AV27" s="115"/>
      <c r="AW27" s="115"/>
      <c r="AX27" s="115"/>
      <c r="AY27" s="115"/>
      <c r="AZ27" s="115"/>
      <c r="BA27" s="115"/>
      <c r="BB27" s="115"/>
      <c r="BC27" s="115"/>
      <c r="BD27" s="115"/>
      <c r="BE27" s="115"/>
      <c r="BF27" s="115"/>
      <c r="BG27" s="115"/>
      <c r="BH27" s="115"/>
      <c r="BI27" s="115"/>
    </row>
    <row r="28" spans="1:61" ht="15.75" customHeight="1" x14ac:dyDescent="0.25">
      <c r="A28" s="115"/>
      <c r="B28" s="654"/>
      <c r="C28" s="670"/>
      <c r="D28" s="653"/>
      <c r="E28" s="659"/>
      <c r="F28" s="670"/>
      <c r="G28" s="670"/>
      <c r="H28" s="670"/>
      <c r="I28" s="653"/>
      <c r="J28" s="663" t="str">
        <f>IF(AND('Matriz riesgos de gestión'!$M$68="Media",'Matriz riesgos de gestión'!$Q$68="Leve"),CONCATENATE("R",'Matriz riesgos de gestión'!$A$68),"")</f>
        <v/>
      </c>
      <c r="K28" s="654"/>
      <c r="L28" s="652" t="str">
        <f>IF(AND('Matriz riesgos de gestión'!$M$74="Media",'Matriz riesgos de gestión'!$Q$74="Leve"),CONCATENATE("R",'Matriz riesgos de gestión'!$A$74),"")</f>
        <v/>
      </c>
      <c r="M28" s="654"/>
      <c r="N28" s="652" t="str">
        <f>IF(AND('Matriz riesgos de gestión'!$M$80="Media",'Matriz riesgos de gestión'!$Q$80="Leve"),CONCATENATE("R",'Matriz riesgos de gestión'!$A$80),"")</f>
        <v/>
      </c>
      <c r="O28" s="653"/>
      <c r="P28" s="663" t="str">
        <f>IF(AND('Matriz riesgos de gestión'!$M$68="Media",'Matriz riesgos de gestión'!$Q$68="Menor"),CONCATENATE("R",'Matriz riesgos de gestión'!$A$68),"")</f>
        <v/>
      </c>
      <c r="Q28" s="654"/>
      <c r="R28" s="652" t="str">
        <f>IF(AND('Matriz riesgos de gestión'!$M$74="Media",'Matriz riesgos de gestión'!$Q$74="Menor"),CONCATENATE("R",'Matriz riesgos de gestión'!$A$74),"")</f>
        <v/>
      </c>
      <c r="S28" s="654"/>
      <c r="T28" s="652" t="str">
        <f>IF(AND('Matriz riesgos de gestión'!$M$80="Media",'Matriz riesgos de gestión'!$Q$80="Menor"),CONCATENATE("R",'Matriz riesgos de gestión'!$A$80),"")</f>
        <v/>
      </c>
      <c r="U28" s="653"/>
      <c r="V28" s="663" t="str">
        <f>IF(AND('Matriz riesgos de gestión'!$M$68="Media",'Matriz riesgos de gestión'!$Q$68="Moderado"),CONCATENATE("R",'Matriz riesgos de gestión'!$A$68),"")</f>
        <v/>
      </c>
      <c r="W28" s="654"/>
      <c r="X28" s="652" t="str">
        <f>IF(AND('Matriz riesgos de gestión'!$M$74="Media",'Matriz riesgos de gestión'!$Q$74="Moderado"),CONCATENATE("R",'Matriz riesgos de gestión'!$A$74),"")</f>
        <v/>
      </c>
      <c r="Y28" s="654"/>
      <c r="Z28" s="652" t="str">
        <f>IF(AND('Matriz riesgos de gestión'!$M$80="Media",'Matriz riesgos de gestión'!$Q$80="Moderado"),CONCATENATE("R",'Matriz riesgos de gestión'!$A$80),"")</f>
        <v/>
      </c>
      <c r="AA28" s="653"/>
      <c r="AB28" s="664" t="str">
        <f>IF(AND('Matriz riesgos de gestión'!$M$68="Media",'Matriz riesgos de gestión'!$Q$68="Mayor"),CONCATENATE("R",'Matriz riesgos de gestión'!$A$68),"")</f>
        <v/>
      </c>
      <c r="AC28" s="654"/>
      <c r="AD28" s="665" t="str">
        <f>IF(AND('Matriz riesgos de gestión'!$M$74="Media",'Matriz riesgos de gestión'!$Q$74="Mayor"),CONCATENATE("R",'Matriz riesgos de gestión'!$A$74),"")</f>
        <v/>
      </c>
      <c r="AE28" s="654"/>
      <c r="AF28" s="665" t="str">
        <f>IF(AND('Matriz riesgos de gestión'!$M$80="Media",'Matriz riesgos de gestión'!$Q$80="Mayor"),CONCATENATE("R",'Matriz riesgos de gestión'!$A$80),"")</f>
        <v/>
      </c>
      <c r="AG28" s="653"/>
      <c r="AH28" s="666" t="str">
        <f>IF(AND('Matriz riesgos de gestión'!$M$68="Media",'Matriz riesgos de gestión'!$Q$68="Catastrófico"),CONCATENATE("R",'Matriz riesgos de gestión'!$A$68),"")</f>
        <v/>
      </c>
      <c r="AI28" s="654"/>
      <c r="AJ28" s="667" t="str">
        <f>IF(AND('Matriz riesgos de gestión'!$M$74="Media",'Matriz riesgos de gestión'!$Q$74="Catastrófico"),CONCATENATE("R",'Matriz riesgos de gestión'!$A$74),"")</f>
        <v/>
      </c>
      <c r="AK28" s="654"/>
      <c r="AL28" s="667" t="str">
        <f>IF(AND('Matriz riesgos de gestión'!$M$80="Media",'Matriz riesgos de gestión'!$Q$80="Catastrófico"),CONCATENATE("R",'Matriz riesgos de gestión'!$A$80),"")</f>
        <v/>
      </c>
      <c r="AM28" s="653"/>
      <c r="AN28" s="115"/>
      <c r="AO28" s="684"/>
      <c r="AP28" s="670"/>
      <c r="AQ28" s="670"/>
      <c r="AR28" s="670"/>
      <c r="AS28" s="670"/>
      <c r="AT28" s="685"/>
      <c r="AU28" s="115"/>
      <c r="AV28" s="115"/>
      <c r="AW28" s="115"/>
      <c r="AX28" s="115"/>
      <c r="AY28" s="115"/>
      <c r="AZ28" s="115"/>
      <c r="BA28" s="115"/>
      <c r="BB28" s="115"/>
      <c r="BC28" s="115"/>
      <c r="BD28" s="115"/>
      <c r="BE28" s="115"/>
      <c r="BF28" s="115"/>
      <c r="BG28" s="115"/>
      <c r="BH28" s="115"/>
      <c r="BI28" s="115"/>
    </row>
    <row r="29" spans="1:61" ht="15.75" customHeight="1" x14ac:dyDescent="0.25">
      <c r="A29" s="115"/>
      <c r="B29" s="654"/>
      <c r="C29" s="670"/>
      <c r="D29" s="653"/>
      <c r="E29" s="671"/>
      <c r="F29" s="672"/>
      <c r="G29" s="672"/>
      <c r="H29" s="672"/>
      <c r="I29" s="673"/>
      <c r="J29" s="659"/>
      <c r="K29" s="654"/>
      <c r="L29" s="654"/>
      <c r="M29" s="654"/>
      <c r="N29" s="654"/>
      <c r="O29" s="653"/>
      <c r="P29" s="671"/>
      <c r="Q29" s="672"/>
      <c r="R29" s="672"/>
      <c r="S29" s="672"/>
      <c r="T29" s="672"/>
      <c r="U29" s="673"/>
      <c r="V29" s="671"/>
      <c r="W29" s="672"/>
      <c r="X29" s="672"/>
      <c r="Y29" s="672"/>
      <c r="Z29" s="672"/>
      <c r="AA29" s="673"/>
      <c r="AB29" s="671"/>
      <c r="AC29" s="672"/>
      <c r="AD29" s="672"/>
      <c r="AE29" s="672"/>
      <c r="AF29" s="672"/>
      <c r="AG29" s="673"/>
      <c r="AH29" s="671"/>
      <c r="AI29" s="672"/>
      <c r="AJ29" s="672"/>
      <c r="AK29" s="672"/>
      <c r="AL29" s="672"/>
      <c r="AM29" s="673"/>
      <c r="AN29" s="115"/>
      <c r="AO29" s="686"/>
      <c r="AP29" s="687"/>
      <c r="AQ29" s="687"/>
      <c r="AR29" s="687"/>
      <c r="AS29" s="687"/>
      <c r="AT29" s="688"/>
      <c r="AU29" s="115"/>
      <c r="AV29" s="115"/>
      <c r="AW29" s="115"/>
      <c r="AX29" s="115"/>
      <c r="AY29" s="115"/>
      <c r="AZ29" s="115"/>
      <c r="BA29" s="115"/>
      <c r="BB29" s="115"/>
      <c r="BC29" s="115"/>
      <c r="BD29" s="115"/>
      <c r="BE29" s="115"/>
      <c r="BF29" s="115"/>
      <c r="BG29" s="115"/>
      <c r="BH29" s="115"/>
      <c r="BI29" s="115"/>
    </row>
    <row r="30" spans="1:61" ht="15.75" customHeight="1" x14ac:dyDescent="0.25">
      <c r="A30" s="115"/>
      <c r="B30" s="654"/>
      <c r="C30" s="670"/>
      <c r="D30" s="653"/>
      <c r="E30" s="669" t="s">
        <v>9</v>
      </c>
      <c r="F30" s="656"/>
      <c r="G30" s="656"/>
      <c r="H30" s="656"/>
      <c r="I30" s="656"/>
      <c r="J30" s="680" t="str">
        <f>IF(AND('Matriz riesgos de gestión'!$M$4="Baja",'Matriz riesgos de gestión'!$Q$4="Leve"),CONCATENATE("R",'Matriz riesgos de gestión'!$A$4),"")</f>
        <v/>
      </c>
      <c r="K30" s="656"/>
      <c r="L30" s="679" t="str">
        <f>IF(AND('Matriz riesgos de gestión'!$M$15="Baja",'Matriz riesgos de gestión'!$Q$15="Leve"),CONCATENATE("R",'Matriz riesgos de gestión'!$A$15),"")</f>
        <v/>
      </c>
      <c r="M30" s="656"/>
      <c r="N30" s="679" t="str">
        <f>IF(AND('Matriz riesgos de gestión'!$M$25="Baja",'Matriz riesgos de gestión'!$Q$25="Leve"),CONCATENATE("R",'Matriz riesgos de gestión'!$A$25),"")</f>
        <v/>
      </c>
      <c r="O30" s="657"/>
      <c r="P30" s="655" t="str">
        <f>IF(AND('Matriz riesgos de gestión'!$M$4="Baja",'Matriz riesgos de gestión'!$Q$4="Menor"),CONCATENATE("R",'Matriz riesgos de gestión'!$A$4),"")</f>
        <v/>
      </c>
      <c r="Q30" s="656"/>
      <c r="R30" s="655" t="str">
        <f>IF(AND('Matriz riesgos de gestión'!$M$15="Baja",'Matriz riesgos de gestión'!$Q$15="Menor"),CONCATENATE("R",'Matriz riesgos de gestión'!$A$15),"")</f>
        <v/>
      </c>
      <c r="S30" s="656"/>
      <c r="T30" s="655" t="str">
        <f>IF(AND('Matriz riesgos de gestión'!$M$25="Baja",'Matriz riesgos de gestión'!$Q$25="Menor"),CONCATENATE("R",'Matriz riesgos de gestión'!$A$25),"")</f>
        <v/>
      </c>
      <c r="U30" s="657"/>
      <c r="V30" s="668" t="str">
        <f>IF(AND('Matriz riesgos de gestión'!$M$4="Baja",'Matriz riesgos de gestión'!$Q$4="Moderado"),CONCATENATE("R",'Matriz riesgos de gestión'!$A$4),"")</f>
        <v/>
      </c>
      <c r="W30" s="656"/>
      <c r="X30" s="655" t="str">
        <f>IF(AND('Matriz riesgos de gestión'!$M$15="Baja",'Matriz riesgos de gestión'!$Q$15="Moderado"),CONCATENATE("R",'Matriz riesgos de gestión'!$A$15),"")</f>
        <v/>
      </c>
      <c r="Y30" s="656"/>
      <c r="Z30" s="655" t="str">
        <f>IF(AND('Matriz riesgos de gestión'!$M$25="Baja",'Matriz riesgos de gestión'!$Q$25="Moderado"),CONCATENATE("R",'Matriz riesgos de gestión'!$A$25),"")</f>
        <v/>
      </c>
      <c r="AA30" s="657"/>
      <c r="AB30" s="658" t="str">
        <f>IF(AND('Matriz riesgos de gestión'!$M$4="Baja",'Matriz riesgos de gestión'!$Q$4="Mayor"),CONCATENATE("R",'Matriz riesgos de gestión'!$A$4),"")</f>
        <v/>
      </c>
      <c r="AC30" s="656"/>
      <c r="AD30" s="660" t="str">
        <f>IF(AND('Matriz riesgos de gestión'!$M$15="Baja",'Matriz riesgos de gestión'!$Q$15="Mayor"),CONCATENATE("R",'Matriz riesgos de gestión'!$A$15),"")</f>
        <v/>
      </c>
      <c r="AE30" s="656"/>
      <c r="AF30" s="660" t="str">
        <f>IF(AND('Matriz riesgos de gestión'!$M$25="Baja",'Matriz riesgos de gestión'!$Q$25="Mayor"),CONCATENATE("R",'Matriz riesgos de gestión'!$A$25),"")</f>
        <v/>
      </c>
      <c r="AG30" s="657"/>
      <c r="AH30" s="674" t="str">
        <f>IF(AND('Matriz riesgos de gestión'!$M$4="Baja",'Matriz riesgos de gestión'!$Q$4="Catastrófico"),CONCATENATE("R",'Matriz riesgos de gestión'!$A$4),"")</f>
        <v/>
      </c>
      <c r="AI30" s="656"/>
      <c r="AJ30" s="661" t="str">
        <f>IF(AND('Matriz riesgos de gestión'!$M$15="Baja",'Matriz riesgos de gestión'!$Q$15="Catastrófico"),CONCATENATE("R",'Matriz riesgos de gestión'!$A$15),"")</f>
        <v/>
      </c>
      <c r="AK30" s="656"/>
      <c r="AL30" s="661" t="str">
        <f>IF(AND('Matriz riesgos de gestión'!$M$25="Baja",'Matriz riesgos de gestión'!$Q$25="Catastrófico"),CONCATENATE("R",'Matriz riesgos de gestión'!$A$25),"")</f>
        <v/>
      </c>
      <c r="AM30" s="657"/>
      <c r="AN30" s="115"/>
      <c r="AO30" s="689" t="s">
        <v>10</v>
      </c>
      <c r="AP30" s="682"/>
      <c r="AQ30" s="682"/>
      <c r="AR30" s="682"/>
      <c r="AS30" s="682"/>
      <c r="AT30" s="683"/>
      <c r="AU30" s="115"/>
      <c r="AV30" s="115"/>
      <c r="AW30" s="115"/>
      <c r="AX30" s="115"/>
      <c r="AY30" s="115"/>
      <c r="AZ30" s="115"/>
      <c r="BA30" s="115"/>
      <c r="BB30" s="115"/>
      <c r="BC30" s="115"/>
      <c r="BD30" s="115"/>
      <c r="BE30" s="115"/>
      <c r="BF30" s="115"/>
      <c r="BG30" s="115"/>
      <c r="BH30" s="115"/>
      <c r="BI30" s="115"/>
    </row>
    <row r="31" spans="1:61" ht="15.75" customHeight="1" x14ac:dyDescent="0.25">
      <c r="A31" s="115"/>
      <c r="B31" s="654"/>
      <c r="C31" s="670"/>
      <c r="D31" s="653"/>
      <c r="E31" s="659"/>
      <c r="F31" s="670"/>
      <c r="G31" s="670"/>
      <c r="H31" s="670"/>
      <c r="I31" s="670"/>
      <c r="J31" s="659"/>
      <c r="K31" s="654"/>
      <c r="L31" s="654"/>
      <c r="M31" s="654"/>
      <c r="N31" s="654"/>
      <c r="O31" s="653"/>
      <c r="P31" s="654"/>
      <c r="Q31" s="654"/>
      <c r="R31" s="654"/>
      <c r="S31" s="654"/>
      <c r="T31" s="654"/>
      <c r="U31" s="653"/>
      <c r="V31" s="659"/>
      <c r="W31" s="654"/>
      <c r="X31" s="654"/>
      <c r="Y31" s="654"/>
      <c r="Z31" s="654"/>
      <c r="AA31" s="653"/>
      <c r="AB31" s="659"/>
      <c r="AC31" s="654"/>
      <c r="AD31" s="654"/>
      <c r="AE31" s="654"/>
      <c r="AF31" s="654"/>
      <c r="AG31" s="653"/>
      <c r="AH31" s="659"/>
      <c r="AI31" s="654"/>
      <c r="AJ31" s="654"/>
      <c r="AK31" s="654"/>
      <c r="AL31" s="654"/>
      <c r="AM31" s="653"/>
      <c r="AN31" s="115"/>
      <c r="AO31" s="684"/>
      <c r="AP31" s="670"/>
      <c r="AQ31" s="670"/>
      <c r="AR31" s="670"/>
      <c r="AS31" s="670"/>
      <c r="AT31" s="685"/>
      <c r="AU31" s="115"/>
      <c r="AV31" s="115"/>
      <c r="AW31" s="115"/>
      <c r="AX31" s="115"/>
      <c r="AY31" s="115"/>
      <c r="AZ31" s="115"/>
      <c r="BA31" s="115"/>
      <c r="BB31" s="115"/>
      <c r="BC31" s="115"/>
      <c r="BD31" s="115"/>
      <c r="BE31" s="115"/>
      <c r="BF31" s="115"/>
      <c r="BG31" s="115"/>
      <c r="BH31" s="115"/>
      <c r="BI31" s="115"/>
    </row>
    <row r="32" spans="1:61" ht="15.75" customHeight="1" x14ac:dyDescent="0.25">
      <c r="A32" s="115"/>
      <c r="B32" s="654"/>
      <c r="C32" s="670"/>
      <c r="D32" s="653"/>
      <c r="E32" s="659"/>
      <c r="F32" s="670"/>
      <c r="G32" s="670"/>
      <c r="H32" s="670"/>
      <c r="I32" s="670"/>
      <c r="J32" s="675" t="str">
        <f>IF(AND('Matriz riesgos de gestión'!$M$32="Baja",'Matriz riesgos de gestión'!$Q$32="Leve"),CONCATENATE("R",'Matriz riesgos de gestión'!$A$32),"")</f>
        <v/>
      </c>
      <c r="K32" s="654"/>
      <c r="L32" s="662" t="str">
        <f>IF(AND('Matriz riesgos de gestión'!$M$38="Baja",'Matriz riesgos de gestión'!$Q$38="Leve"),CONCATENATE("R",'Matriz riesgos de gestión'!$A$38),"")</f>
        <v/>
      </c>
      <c r="M32" s="654"/>
      <c r="N32" s="662" t="str">
        <f>IF(AND('Matriz riesgos de gestión'!$M$44="Baja",'Matriz riesgos de gestión'!$Q$44="Leve"),CONCATENATE("R",'Matriz riesgos de gestión'!$A$44),"")</f>
        <v/>
      </c>
      <c r="O32" s="653"/>
      <c r="P32" s="652" t="str">
        <f>IF(AND('Matriz riesgos de gestión'!$M$32="Baja",'Matriz riesgos de gestión'!$Q$32="Menor"),CONCATENATE("R",'Matriz riesgos de gestión'!$A$32),"")</f>
        <v/>
      </c>
      <c r="Q32" s="654"/>
      <c r="R32" s="652" t="str">
        <f>IF(AND('Matriz riesgos de gestión'!$M$38="Baja",'Matriz riesgos de gestión'!$Q$38="Menor"),CONCATENATE("R",'Matriz riesgos de gestión'!$A$38),"")</f>
        <v/>
      </c>
      <c r="S32" s="654"/>
      <c r="T32" s="652" t="str">
        <f>IF(AND('Matriz riesgos de gestión'!$M$44="Baja",'Matriz riesgos de gestión'!$Q$44="Menor"),CONCATENATE("R",'Matriz riesgos de gestión'!$A$44),"")</f>
        <v/>
      </c>
      <c r="U32" s="653"/>
      <c r="V32" s="663" t="str">
        <f>IF(AND('Matriz riesgos de gestión'!$M$32="Baja",'Matriz riesgos de gestión'!$Q$32="Moderado"),CONCATENATE("R",'Matriz riesgos de gestión'!$A$32),"")</f>
        <v>R11</v>
      </c>
      <c r="W32" s="654"/>
      <c r="X32" s="652" t="str">
        <f>IF(AND('Matriz riesgos de gestión'!$M$38="Baja",'Matriz riesgos de gestión'!$Q$38="Moderado"),CONCATENATE("R",'Matriz riesgos de gestión'!$A$38),"")</f>
        <v/>
      </c>
      <c r="Y32" s="654"/>
      <c r="Z32" s="652" t="str">
        <f>IF(AND('Matriz riesgos de gestión'!$M$44="Baja",'Matriz riesgos de gestión'!$Q$44="Moderado"),CONCATENATE("R",'Matriz riesgos de gestión'!$A$44),"")</f>
        <v/>
      </c>
      <c r="AA32" s="653"/>
      <c r="AB32" s="664" t="str">
        <f>IF(AND('Matriz riesgos de gestión'!$M$32="Baja",'Matriz riesgos de gestión'!$Q$32="Mayor"),CONCATENATE("R",'Matriz riesgos de gestión'!$A$32),"")</f>
        <v/>
      </c>
      <c r="AC32" s="654"/>
      <c r="AD32" s="665" t="str">
        <f>IF(AND('Matriz riesgos de gestión'!$M$38="Baja",'Matriz riesgos de gestión'!$Q$38="Mayor"),CONCATENATE("R",'Matriz riesgos de gestión'!$A$38),"")</f>
        <v/>
      </c>
      <c r="AE32" s="654"/>
      <c r="AF32" s="665" t="str">
        <f>IF(AND('Matriz riesgos de gestión'!$M$44="Baja",'Matriz riesgos de gestión'!$Q$44="Mayor"),CONCATENATE("R",'Matriz riesgos de gestión'!$A$44),"")</f>
        <v/>
      </c>
      <c r="AG32" s="653"/>
      <c r="AH32" s="666" t="str">
        <f>IF(AND('Matriz riesgos de gestión'!$M$32="Baja",'Matriz riesgos de gestión'!$Q$32="Catastrófico"),CONCATENATE("R",'Matriz riesgos de gestión'!$A$32),"")</f>
        <v/>
      </c>
      <c r="AI32" s="654"/>
      <c r="AJ32" s="667" t="str">
        <f>IF(AND('Matriz riesgos de gestión'!$M$38="Baja",'Matriz riesgos de gestión'!$Q$38="Catastrófico"),CONCATENATE("R",'Matriz riesgos de gestión'!$A$38),"")</f>
        <v/>
      </c>
      <c r="AK32" s="654"/>
      <c r="AL32" s="667" t="str">
        <f>IF(AND('Matriz riesgos de gestión'!$M$44="Baja",'Matriz riesgos de gestión'!$Q$44="Catastrófico"),CONCATENATE("R",'Matriz riesgos de gestión'!$A$44),"")</f>
        <v/>
      </c>
      <c r="AM32" s="653"/>
      <c r="AN32" s="115"/>
      <c r="AO32" s="684"/>
      <c r="AP32" s="670"/>
      <c r="AQ32" s="670"/>
      <c r="AR32" s="670"/>
      <c r="AS32" s="670"/>
      <c r="AT32" s="685"/>
      <c r="AU32" s="115"/>
      <c r="AV32" s="115"/>
      <c r="AW32" s="115"/>
      <c r="AX32" s="115"/>
      <c r="AY32" s="115"/>
      <c r="AZ32" s="115"/>
      <c r="BA32" s="115"/>
      <c r="BB32" s="115"/>
      <c r="BC32" s="115"/>
      <c r="BD32" s="115"/>
      <c r="BE32" s="115"/>
      <c r="BF32" s="115"/>
      <c r="BG32" s="115"/>
      <c r="BH32" s="115"/>
      <c r="BI32" s="115"/>
    </row>
    <row r="33" spans="1:61" ht="15.75" customHeight="1" x14ac:dyDescent="0.25">
      <c r="A33" s="115"/>
      <c r="B33" s="654"/>
      <c r="C33" s="670"/>
      <c r="D33" s="653"/>
      <c r="E33" s="659"/>
      <c r="F33" s="670"/>
      <c r="G33" s="670"/>
      <c r="H33" s="670"/>
      <c r="I33" s="670"/>
      <c r="J33" s="659"/>
      <c r="K33" s="654"/>
      <c r="L33" s="654"/>
      <c r="M33" s="654"/>
      <c r="N33" s="654"/>
      <c r="O33" s="653"/>
      <c r="P33" s="654"/>
      <c r="Q33" s="654"/>
      <c r="R33" s="654"/>
      <c r="S33" s="654"/>
      <c r="T33" s="654"/>
      <c r="U33" s="653"/>
      <c r="V33" s="659"/>
      <c r="W33" s="654"/>
      <c r="X33" s="654"/>
      <c r="Y33" s="654"/>
      <c r="Z33" s="654"/>
      <c r="AA33" s="653"/>
      <c r="AB33" s="659"/>
      <c r="AC33" s="654"/>
      <c r="AD33" s="654"/>
      <c r="AE33" s="654"/>
      <c r="AF33" s="654"/>
      <c r="AG33" s="653"/>
      <c r="AH33" s="659"/>
      <c r="AI33" s="654"/>
      <c r="AJ33" s="654"/>
      <c r="AK33" s="654"/>
      <c r="AL33" s="654"/>
      <c r="AM33" s="653"/>
      <c r="AN33" s="115"/>
      <c r="AO33" s="684"/>
      <c r="AP33" s="670"/>
      <c r="AQ33" s="670"/>
      <c r="AR33" s="670"/>
      <c r="AS33" s="670"/>
      <c r="AT33" s="685"/>
      <c r="AU33" s="115"/>
      <c r="AV33" s="115"/>
      <c r="AW33" s="115"/>
      <c r="AX33" s="115"/>
      <c r="AY33" s="115"/>
      <c r="AZ33" s="115"/>
      <c r="BA33" s="115"/>
      <c r="BB33" s="115"/>
      <c r="BC33" s="115"/>
      <c r="BD33" s="115"/>
      <c r="BE33" s="115"/>
      <c r="BF33" s="115"/>
      <c r="BG33" s="115"/>
      <c r="BH33" s="115"/>
      <c r="BI33" s="115"/>
    </row>
    <row r="34" spans="1:61" ht="15.75" customHeight="1" x14ac:dyDescent="0.25">
      <c r="A34" s="115"/>
      <c r="B34" s="654"/>
      <c r="C34" s="670"/>
      <c r="D34" s="653"/>
      <c r="E34" s="659"/>
      <c r="F34" s="670"/>
      <c r="G34" s="670"/>
      <c r="H34" s="670"/>
      <c r="I34" s="670"/>
      <c r="J34" s="675" t="str">
        <f>IF(AND('Matriz riesgos de gestión'!$M$50="Baja",'Matriz riesgos de gestión'!$Q$50="Leve"),CONCATENATE("R",'Matriz riesgos de gestión'!$A$50),"")</f>
        <v/>
      </c>
      <c r="K34" s="654"/>
      <c r="L34" s="662" t="str">
        <f>IF(AND('Matriz riesgos de gestión'!$M$56="Baja",'Matriz riesgos de gestión'!$Q$56="Leve"),CONCATENATE("R",'Matriz riesgos de gestión'!$A$56),"")</f>
        <v/>
      </c>
      <c r="M34" s="654"/>
      <c r="N34" s="662" t="str">
        <f>IF(AND('Matriz riesgos de gestión'!$M$62="Baja",'Matriz riesgos de gestión'!$Q$62="Leve"),CONCATENATE("R",'Matriz riesgos de gestión'!$A$62),"")</f>
        <v/>
      </c>
      <c r="O34" s="653"/>
      <c r="P34" s="652" t="str">
        <f>IF(AND('Matriz riesgos de gestión'!$M$50="Baja",'Matriz riesgos de gestión'!$Q$50="Menor"),CONCATENATE("R",'Matriz riesgos de gestión'!$A$50),"")</f>
        <v/>
      </c>
      <c r="Q34" s="654"/>
      <c r="R34" s="652" t="str">
        <f>IF(AND('Matriz riesgos de gestión'!$M$56="Baja",'Matriz riesgos de gestión'!$Q$56="Menor"),CONCATENATE("R",'Matriz riesgos de gestión'!$A$56),"")</f>
        <v/>
      </c>
      <c r="S34" s="654"/>
      <c r="T34" s="652" t="str">
        <f>IF(AND('Matriz riesgos de gestión'!$M$62="Baja",'Matriz riesgos de gestión'!$Q$62="Menor"),CONCATENATE("R",'Matriz riesgos de gestión'!$A$62),"")</f>
        <v/>
      </c>
      <c r="U34" s="653"/>
      <c r="V34" s="663" t="str">
        <f>IF(AND('Matriz riesgos de gestión'!$M$50="Baja",'Matriz riesgos de gestión'!$Q$50="Moderado"),CONCATENATE("R",'Matriz riesgos de gestión'!$A$50),"")</f>
        <v/>
      </c>
      <c r="W34" s="654"/>
      <c r="X34" s="652" t="str">
        <f>IF(AND('Matriz riesgos de gestión'!$M$56="Baja",'Matriz riesgos de gestión'!$Q$56="Moderado"),CONCATENATE("R",'Matriz riesgos de gestión'!$A$56),"")</f>
        <v/>
      </c>
      <c r="Y34" s="654"/>
      <c r="Z34" s="652" t="str">
        <f>IF(AND('Matriz riesgos de gestión'!$M$62="Baja",'Matriz riesgos de gestión'!$Q$62="Moderado"),CONCATENATE("R",'Matriz riesgos de gestión'!$A$62),"")</f>
        <v/>
      </c>
      <c r="AA34" s="653"/>
      <c r="AB34" s="664" t="str">
        <f>IF(AND('Matriz riesgos de gestión'!$M$50="Baja",'Matriz riesgos de gestión'!$Q$50="Mayor"),CONCATENATE("R",'Matriz riesgos de gestión'!$A$50),"")</f>
        <v/>
      </c>
      <c r="AC34" s="654"/>
      <c r="AD34" s="665" t="str">
        <f>IF(AND('Matriz riesgos de gestión'!$M$56="Baja",'Matriz riesgos de gestión'!$Q$56="Mayor"),CONCATENATE("R",'Matriz riesgos de gestión'!$A$56),"")</f>
        <v/>
      </c>
      <c r="AE34" s="654"/>
      <c r="AF34" s="665" t="str">
        <f>IF(AND('Matriz riesgos de gestión'!$M$62="Baja",'Matriz riesgos de gestión'!$Q$62="Mayor"),CONCATENATE("R",'Matriz riesgos de gestión'!$A$62),"")</f>
        <v/>
      </c>
      <c r="AG34" s="653"/>
      <c r="AH34" s="666" t="str">
        <f>IF(AND('Matriz riesgos de gestión'!$M$50="Baja",'Matriz riesgos de gestión'!$Q$50="Catastrófico"),CONCATENATE("R",'Matriz riesgos de gestión'!$A$50),"")</f>
        <v/>
      </c>
      <c r="AI34" s="654"/>
      <c r="AJ34" s="667" t="str">
        <f>IF(AND('Matriz riesgos de gestión'!$M$56="Baja",'Matriz riesgos de gestión'!$Q$56="Catastrófico"),CONCATENATE("R",'Matriz riesgos de gestión'!$A$56),"")</f>
        <v/>
      </c>
      <c r="AK34" s="654"/>
      <c r="AL34" s="667" t="str">
        <f>IF(AND('Matriz riesgos de gestión'!$M$62="Baja",'Matriz riesgos de gestión'!$Q$62="Catastrófico"),CONCATENATE("R",'Matriz riesgos de gestión'!$A$62),"")</f>
        <v/>
      </c>
      <c r="AM34" s="653"/>
      <c r="AN34" s="115"/>
      <c r="AO34" s="684"/>
      <c r="AP34" s="670"/>
      <c r="AQ34" s="670"/>
      <c r="AR34" s="670"/>
      <c r="AS34" s="670"/>
      <c r="AT34" s="685"/>
      <c r="AU34" s="115"/>
      <c r="AV34" s="115"/>
      <c r="AW34" s="115"/>
      <c r="AX34" s="115"/>
      <c r="AY34" s="115"/>
      <c r="AZ34" s="115"/>
      <c r="BA34" s="115"/>
      <c r="BB34" s="115"/>
      <c r="BC34" s="115"/>
      <c r="BD34" s="115"/>
      <c r="BE34" s="115"/>
      <c r="BF34" s="115"/>
      <c r="BG34" s="115"/>
      <c r="BH34" s="115"/>
      <c r="BI34" s="115"/>
    </row>
    <row r="35" spans="1:61" ht="15.75" customHeight="1" x14ac:dyDescent="0.25">
      <c r="A35" s="115"/>
      <c r="B35" s="654"/>
      <c r="C35" s="670"/>
      <c r="D35" s="653"/>
      <c r="E35" s="659"/>
      <c r="F35" s="670"/>
      <c r="G35" s="670"/>
      <c r="H35" s="670"/>
      <c r="I35" s="670"/>
      <c r="J35" s="659"/>
      <c r="K35" s="654"/>
      <c r="L35" s="654"/>
      <c r="M35" s="654"/>
      <c r="N35" s="654"/>
      <c r="O35" s="653"/>
      <c r="P35" s="654"/>
      <c r="Q35" s="654"/>
      <c r="R35" s="654"/>
      <c r="S35" s="654"/>
      <c r="T35" s="654"/>
      <c r="U35" s="653"/>
      <c r="V35" s="659"/>
      <c r="W35" s="654"/>
      <c r="X35" s="654"/>
      <c r="Y35" s="654"/>
      <c r="Z35" s="654"/>
      <c r="AA35" s="653"/>
      <c r="AB35" s="659"/>
      <c r="AC35" s="654"/>
      <c r="AD35" s="654"/>
      <c r="AE35" s="654"/>
      <c r="AF35" s="654"/>
      <c r="AG35" s="653"/>
      <c r="AH35" s="659"/>
      <c r="AI35" s="654"/>
      <c r="AJ35" s="654"/>
      <c r="AK35" s="654"/>
      <c r="AL35" s="654"/>
      <c r="AM35" s="653"/>
      <c r="AN35" s="115"/>
      <c r="AO35" s="684"/>
      <c r="AP35" s="670"/>
      <c r="AQ35" s="670"/>
      <c r="AR35" s="670"/>
      <c r="AS35" s="670"/>
      <c r="AT35" s="685"/>
      <c r="AU35" s="115"/>
      <c r="AV35" s="115"/>
      <c r="AW35" s="115"/>
      <c r="AX35" s="115"/>
      <c r="AY35" s="115"/>
      <c r="AZ35" s="115"/>
      <c r="BA35" s="115"/>
      <c r="BB35" s="115"/>
      <c r="BC35" s="115"/>
      <c r="BD35" s="115"/>
      <c r="BE35" s="115"/>
      <c r="BF35" s="115"/>
      <c r="BG35" s="115"/>
      <c r="BH35" s="115"/>
      <c r="BI35" s="115"/>
    </row>
    <row r="36" spans="1:61" ht="15.75" customHeight="1" x14ac:dyDescent="0.25">
      <c r="A36" s="115"/>
      <c r="B36" s="654"/>
      <c r="C36" s="670"/>
      <c r="D36" s="653"/>
      <c r="E36" s="659"/>
      <c r="F36" s="670"/>
      <c r="G36" s="670"/>
      <c r="H36" s="670"/>
      <c r="I36" s="670"/>
      <c r="J36" s="675" t="str">
        <f>IF(AND('Matriz riesgos de gestión'!$M$68="Baja",'Matriz riesgos de gestión'!$Q$68="Leve"),CONCATENATE("R",'Matriz riesgos de gestión'!$A$68),"")</f>
        <v/>
      </c>
      <c r="K36" s="654"/>
      <c r="L36" s="662" t="str">
        <f>IF(AND('Matriz riesgos de gestión'!$M$74="Baja",'Matriz riesgos de gestión'!$Q$74="Leve"),CONCATENATE("R",'Matriz riesgos de gestión'!$A$74),"")</f>
        <v/>
      </c>
      <c r="M36" s="654"/>
      <c r="N36" s="662" t="str">
        <f>IF(AND('Matriz riesgos de gestión'!$M$80="Baja",'Matriz riesgos de gestión'!$Q$80="Leve"),CONCATENATE("R",'Matriz riesgos de gestión'!$A$80),"")</f>
        <v/>
      </c>
      <c r="O36" s="653"/>
      <c r="P36" s="652" t="str">
        <f>IF(AND('Matriz riesgos de gestión'!$M$68="Baja",'Matriz riesgos de gestión'!$Q$68="Menor"),CONCATENATE("R",'Matriz riesgos de gestión'!$A$68),"")</f>
        <v/>
      </c>
      <c r="Q36" s="654"/>
      <c r="R36" s="652" t="str">
        <f>IF(AND('Matriz riesgos de gestión'!$M$74="Baja",'Matriz riesgos de gestión'!$Q$74="Menor"),CONCATENATE("R",'Matriz riesgos de gestión'!$A$74),"")</f>
        <v/>
      </c>
      <c r="S36" s="654"/>
      <c r="T36" s="652" t="str">
        <f>IF(AND('Matriz riesgos de gestión'!$M$80="Baja",'Matriz riesgos de gestión'!$Q$80="Menor"),CONCATENATE("R",'Matriz riesgos de gestión'!$A$80),"")</f>
        <v/>
      </c>
      <c r="U36" s="653"/>
      <c r="V36" s="663" t="str">
        <f>IF(AND('Matriz riesgos de gestión'!$M$68="Baja",'Matriz riesgos de gestión'!$Q$68="Moderado"),CONCATENATE("R",'Matriz riesgos de gestión'!$A$68),"")</f>
        <v>R31</v>
      </c>
      <c r="W36" s="654"/>
      <c r="X36" s="652" t="str">
        <f>IF(AND('Matriz riesgos de gestión'!$M$74="Baja",'Matriz riesgos de gestión'!$Q$74="Moderado"),CONCATENATE("R",'Matriz riesgos de gestión'!$A$74),"")</f>
        <v/>
      </c>
      <c r="Y36" s="654"/>
      <c r="Z36" s="652" t="str">
        <f>IF(AND('Matriz riesgos de gestión'!$M$80="Baja",'Matriz riesgos de gestión'!$Q$80="Moderado"),CONCATENATE("R",'Matriz riesgos de gestión'!$A$80),"")</f>
        <v>R36</v>
      </c>
      <c r="AA36" s="653"/>
      <c r="AB36" s="664" t="str">
        <f>IF(AND('Matriz riesgos de gestión'!$M$68="Baja",'Matriz riesgos de gestión'!$Q$68="Mayor"),CONCATENATE("R",'Matriz riesgos de gestión'!$A$68),"")</f>
        <v/>
      </c>
      <c r="AC36" s="654"/>
      <c r="AD36" s="665" t="str">
        <f>IF(AND('Matriz riesgos de gestión'!$M$74="Baja",'Matriz riesgos de gestión'!$Q$74="Mayor"),CONCATENATE("R",'Matriz riesgos de gestión'!$A$74),"")</f>
        <v/>
      </c>
      <c r="AE36" s="654"/>
      <c r="AF36" s="665" t="str">
        <f>IF(AND('Matriz riesgos de gestión'!$M$80="Baja",'Matriz riesgos de gestión'!$Q$80="Mayor"),CONCATENATE("R",'Matriz riesgos de gestión'!$A$80),"")</f>
        <v/>
      </c>
      <c r="AG36" s="653"/>
      <c r="AH36" s="666" t="str">
        <f>IF(AND('Matriz riesgos de gestión'!$M$68="Baja",'Matriz riesgos de gestión'!$Q$68="Catastrófico"),CONCATENATE("R",'Matriz riesgos de gestión'!$A$68),"")</f>
        <v/>
      </c>
      <c r="AI36" s="654"/>
      <c r="AJ36" s="667" t="str">
        <f>IF(AND('Matriz riesgos de gestión'!$M$74="Baja",'Matriz riesgos de gestión'!$Q$74="Catastrófico"),CONCATENATE("R",'Matriz riesgos de gestión'!$A$74),"")</f>
        <v>R33</v>
      </c>
      <c r="AK36" s="654"/>
      <c r="AL36" s="667" t="str">
        <f>IF(AND('Matriz riesgos de gestión'!$M$80="Baja",'Matriz riesgos de gestión'!$Q$80="Catastrófico"),CONCATENATE("R",'Matriz riesgos de gestión'!$A$80),"")</f>
        <v/>
      </c>
      <c r="AM36" s="653"/>
      <c r="AN36" s="115"/>
      <c r="AO36" s="684"/>
      <c r="AP36" s="670"/>
      <c r="AQ36" s="670"/>
      <c r="AR36" s="670"/>
      <c r="AS36" s="670"/>
      <c r="AT36" s="685"/>
      <c r="AU36" s="115"/>
      <c r="AV36" s="115"/>
      <c r="AW36" s="115"/>
      <c r="AX36" s="115"/>
      <c r="AY36" s="115"/>
      <c r="AZ36" s="115"/>
      <c r="BA36" s="115"/>
      <c r="BB36" s="115"/>
      <c r="BC36" s="115"/>
      <c r="BD36" s="115"/>
      <c r="BE36" s="115"/>
      <c r="BF36" s="115"/>
      <c r="BG36" s="115"/>
      <c r="BH36" s="115"/>
      <c r="BI36" s="115"/>
    </row>
    <row r="37" spans="1:61" ht="15.75" customHeight="1" x14ac:dyDescent="0.25">
      <c r="A37" s="115"/>
      <c r="B37" s="654"/>
      <c r="C37" s="670"/>
      <c r="D37" s="653"/>
      <c r="E37" s="671"/>
      <c r="F37" s="672"/>
      <c r="G37" s="672"/>
      <c r="H37" s="672"/>
      <c r="I37" s="672"/>
      <c r="J37" s="671"/>
      <c r="K37" s="672"/>
      <c r="L37" s="672"/>
      <c r="M37" s="672"/>
      <c r="N37" s="672"/>
      <c r="O37" s="673"/>
      <c r="P37" s="672"/>
      <c r="Q37" s="672"/>
      <c r="R37" s="672"/>
      <c r="S37" s="672"/>
      <c r="T37" s="672"/>
      <c r="U37" s="673"/>
      <c r="V37" s="671"/>
      <c r="W37" s="672"/>
      <c r="X37" s="672"/>
      <c r="Y37" s="672"/>
      <c r="Z37" s="672"/>
      <c r="AA37" s="673"/>
      <c r="AB37" s="671"/>
      <c r="AC37" s="672"/>
      <c r="AD37" s="672"/>
      <c r="AE37" s="672"/>
      <c r="AF37" s="672"/>
      <c r="AG37" s="673"/>
      <c r="AH37" s="671"/>
      <c r="AI37" s="672"/>
      <c r="AJ37" s="672"/>
      <c r="AK37" s="672"/>
      <c r="AL37" s="672"/>
      <c r="AM37" s="673"/>
      <c r="AN37" s="115"/>
      <c r="AO37" s="686"/>
      <c r="AP37" s="687"/>
      <c r="AQ37" s="687"/>
      <c r="AR37" s="687"/>
      <c r="AS37" s="687"/>
      <c r="AT37" s="688"/>
      <c r="AU37" s="115"/>
      <c r="AV37" s="115"/>
      <c r="AW37" s="115"/>
      <c r="AX37" s="115"/>
      <c r="AY37" s="115"/>
      <c r="AZ37" s="115"/>
      <c r="BA37" s="115"/>
      <c r="BB37" s="115"/>
      <c r="BC37" s="115"/>
      <c r="BD37" s="115"/>
      <c r="BE37" s="115"/>
      <c r="BF37" s="115"/>
      <c r="BG37" s="115"/>
      <c r="BH37" s="115"/>
      <c r="BI37" s="115"/>
    </row>
    <row r="38" spans="1:61" ht="15.75" customHeight="1" x14ac:dyDescent="0.25">
      <c r="A38" s="115"/>
      <c r="B38" s="654"/>
      <c r="C38" s="670"/>
      <c r="D38" s="653"/>
      <c r="E38" s="669" t="s">
        <v>11</v>
      </c>
      <c r="F38" s="656"/>
      <c r="G38" s="656"/>
      <c r="H38" s="656"/>
      <c r="I38" s="657"/>
      <c r="J38" s="680" t="str">
        <f>IF(AND('Matriz riesgos de gestión'!$M$4="Muy Baja",'Matriz riesgos de gestión'!$Q$4="Leve"),CONCATENATE("R",'Matriz riesgos de gestión'!$A$4),"")</f>
        <v/>
      </c>
      <c r="K38" s="656"/>
      <c r="L38" s="679" t="str">
        <f>IF(AND('Matriz riesgos de gestión'!$M$15="Muy Baja",'Matriz riesgos de gestión'!$Q$15="Leve"),CONCATENATE("R",'Matriz riesgos de gestión'!$A$15),"")</f>
        <v/>
      </c>
      <c r="M38" s="656"/>
      <c r="N38" s="679" t="str">
        <f>IF(AND('Matriz riesgos de gestión'!$M$25="Muy Baja",'Matriz riesgos de gestión'!$Q$25="Leve"),CONCATENATE("R",'Matriz riesgos de gestión'!$A$25),"")</f>
        <v/>
      </c>
      <c r="O38" s="657"/>
      <c r="P38" s="680" t="str">
        <f>IF(AND('Matriz riesgos de gestión'!$M$4="Muy Baja",'Matriz riesgos de gestión'!$Q$4="Menor"),CONCATENATE("R",'Matriz riesgos de gestión'!$A$4),"")</f>
        <v/>
      </c>
      <c r="Q38" s="656"/>
      <c r="R38" s="679" t="str">
        <f>IF(AND('Matriz riesgos de gestión'!$M$15="Muy Baja",'Matriz riesgos de gestión'!$Q$15="Menor"),CONCATENATE("R",'Matriz riesgos de gestión'!$A$15),"")</f>
        <v/>
      </c>
      <c r="S38" s="656"/>
      <c r="T38" s="679" t="str">
        <f>IF(AND('Matriz riesgos de gestión'!$M$25="Muy Baja",'Matriz riesgos de gestión'!$Q$25="Menor"),CONCATENATE("R",'Matriz riesgos de gestión'!$A$25),"")</f>
        <v/>
      </c>
      <c r="U38" s="657"/>
      <c r="V38" s="668" t="str">
        <f>IF(AND('Matriz riesgos de gestión'!$M$4="Muy Baja",'Matriz riesgos de gestión'!$Q$4="Moderado"),CONCATENATE("R",'Matriz riesgos de gestión'!$A$4),"")</f>
        <v/>
      </c>
      <c r="W38" s="656"/>
      <c r="X38" s="655" t="str">
        <f>IF(AND('Matriz riesgos de gestión'!$M$15="Muy Baja",'Matriz riesgos de gestión'!$Q$15="Moderado"),CONCATENATE("R",'Matriz riesgos de gestión'!$A$15),"")</f>
        <v/>
      </c>
      <c r="Y38" s="656"/>
      <c r="Z38" s="655" t="str">
        <f>IF(AND('Matriz riesgos de gestión'!$M$25="Muy Baja",'Matriz riesgos de gestión'!$Q$25="Moderado"),CONCATENATE("R",'Matriz riesgos de gestión'!$A$25),"")</f>
        <v/>
      </c>
      <c r="AA38" s="657"/>
      <c r="AB38" s="658" t="str">
        <f>IF(AND('Matriz riesgos de gestión'!$M$4="Muy Baja",'Matriz riesgos de gestión'!$Q$4="Mayor"),CONCATENATE("R",'Matriz riesgos de gestión'!$A$4),"")</f>
        <v/>
      </c>
      <c r="AC38" s="656"/>
      <c r="AD38" s="660" t="str">
        <f>IF(AND('Matriz riesgos de gestión'!$M$15="Muy Baja",'Matriz riesgos de gestión'!$Q$15="Mayor"),CONCATENATE("R",'Matriz riesgos de gestión'!$A$15),"")</f>
        <v/>
      </c>
      <c r="AE38" s="656"/>
      <c r="AF38" s="660" t="str">
        <f>IF(AND('Matriz riesgos de gestión'!$M$25="Muy Baja",'Matriz riesgos de gestión'!$Q$25="Mayor"),CONCATENATE("R",'Matriz riesgos de gestión'!$A$25),"")</f>
        <v/>
      </c>
      <c r="AG38" s="657"/>
      <c r="AH38" s="674" t="str">
        <f>IF(AND('Matriz riesgos de gestión'!$M$4="Muy Baja",'Matriz riesgos de gestión'!$Q$4="Catastrófico"),CONCATENATE("R",'Matriz riesgos de gestión'!$A$4),"")</f>
        <v/>
      </c>
      <c r="AI38" s="656"/>
      <c r="AJ38" s="661" t="str">
        <f>IF(AND('Matriz riesgos de gestión'!$M$15="Muy Baja",'Matriz riesgos de gestión'!$Q$15="Catastrófico"),CONCATENATE("R",'Matriz riesgos de gestión'!$A$15),"")</f>
        <v/>
      </c>
      <c r="AK38" s="656"/>
      <c r="AL38" s="661" t="str">
        <f>IF(AND('Matriz riesgos de gestión'!$M$25="Muy Baja",'Matriz riesgos de gestión'!$Q$25="Catastrófico"),CONCATENATE("R",'Matriz riesgos de gestión'!$A$25),"")</f>
        <v/>
      </c>
      <c r="AM38" s="657"/>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row>
    <row r="39" spans="1:61" ht="15.75" customHeight="1" x14ac:dyDescent="0.25">
      <c r="A39" s="115"/>
      <c r="B39" s="654"/>
      <c r="C39" s="670"/>
      <c r="D39" s="653"/>
      <c r="E39" s="659"/>
      <c r="F39" s="670"/>
      <c r="G39" s="670"/>
      <c r="H39" s="670"/>
      <c r="I39" s="653"/>
      <c r="J39" s="659"/>
      <c r="K39" s="654"/>
      <c r="L39" s="654"/>
      <c r="M39" s="654"/>
      <c r="N39" s="654"/>
      <c r="O39" s="653"/>
      <c r="P39" s="659"/>
      <c r="Q39" s="654"/>
      <c r="R39" s="654"/>
      <c r="S39" s="654"/>
      <c r="T39" s="654"/>
      <c r="U39" s="653"/>
      <c r="V39" s="659"/>
      <c r="W39" s="654"/>
      <c r="X39" s="654"/>
      <c r="Y39" s="654"/>
      <c r="Z39" s="654"/>
      <c r="AA39" s="653"/>
      <c r="AB39" s="659"/>
      <c r="AC39" s="654"/>
      <c r="AD39" s="654"/>
      <c r="AE39" s="654"/>
      <c r="AF39" s="654"/>
      <c r="AG39" s="653"/>
      <c r="AH39" s="659"/>
      <c r="AI39" s="654"/>
      <c r="AJ39" s="654"/>
      <c r="AK39" s="654"/>
      <c r="AL39" s="654"/>
      <c r="AM39" s="653"/>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row>
    <row r="40" spans="1:61" ht="15.75" customHeight="1" x14ac:dyDescent="0.25">
      <c r="A40" s="115"/>
      <c r="B40" s="654"/>
      <c r="C40" s="670"/>
      <c r="D40" s="653"/>
      <c r="E40" s="659"/>
      <c r="F40" s="670"/>
      <c r="G40" s="670"/>
      <c r="H40" s="670"/>
      <c r="I40" s="653"/>
      <c r="J40" s="675" t="str">
        <f>IF(AND('Matriz riesgos de gestión'!$M$32="Muy Baja",'Matriz riesgos de gestión'!$Q$32="Leve"),CONCATENATE("R",'Matriz riesgos de gestión'!$A$32),"")</f>
        <v/>
      </c>
      <c r="K40" s="654"/>
      <c r="L40" s="662" t="str">
        <f>IF(AND('Matriz riesgos de gestión'!$M$38="Muy Baja",'Matriz riesgos de gestión'!$Q$38="Leve"),CONCATENATE("R",'Matriz riesgos de gestión'!$A$38),"")</f>
        <v/>
      </c>
      <c r="M40" s="654"/>
      <c r="N40" s="662" t="str">
        <f>IF(AND('Matriz riesgos de gestión'!$M$44="Muy Baja",'Matriz riesgos de gestión'!$Q$44="Leve"),CONCATENATE("R",'Matriz riesgos de gestión'!$A$44),"")</f>
        <v/>
      </c>
      <c r="O40" s="653"/>
      <c r="P40" s="675" t="str">
        <f>IF(AND('Matriz riesgos de gestión'!$M$32="Muy Baja",'Matriz riesgos de gestión'!$Q$32="Menor"),CONCATENATE("R",'Matriz riesgos de gestión'!$A$32),"")</f>
        <v/>
      </c>
      <c r="Q40" s="654"/>
      <c r="R40" s="662" t="str">
        <f>IF(AND('Matriz riesgos de gestión'!$M$38="Muy Baja",'Matriz riesgos de gestión'!$Q$38="Menor"),CONCATENATE("R",'Matriz riesgos de gestión'!$A$38),"")</f>
        <v/>
      </c>
      <c r="S40" s="654"/>
      <c r="T40" s="662" t="str">
        <f>IF(AND('Matriz riesgos de gestión'!$M$44="Muy Baja",'Matriz riesgos de gestión'!$Q$44="Menor"),CONCATENATE("R",'Matriz riesgos de gestión'!$A$44),"")</f>
        <v/>
      </c>
      <c r="U40" s="653"/>
      <c r="V40" s="663" t="str">
        <f>IF(AND('Matriz riesgos de gestión'!$M$32="Muy Baja",'Matriz riesgos de gestión'!$Q$32="Moderado"),CONCATENATE("R",'Matriz riesgos de gestión'!$A$32),"")</f>
        <v/>
      </c>
      <c r="W40" s="654"/>
      <c r="X40" s="652" t="str">
        <f>IF(AND('Matriz riesgos de gestión'!$M$38="Muy Baja",'Matriz riesgos de gestión'!$Q$38="Moderado"),CONCATENATE("R",'Matriz riesgos de gestión'!$A$38),"")</f>
        <v/>
      </c>
      <c r="Y40" s="654"/>
      <c r="Z40" s="652" t="str">
        <f>IF(AND('Matriz riesgos de gestión'!$M$44="Muy Baja",'Matriz riesgos de gestión'!$Q$44="Moderado"),CONCATENATE("R",'Matriz riesgos de gestión'!$A$44),"")</f>
        <v/>
      </c>
      <c r="AA40" s="653"/>
      <c r="AB40" s="664" t="str">
        <f>IF(AND('Matriz riesgos de gestión'!$M$32="Muy Baja",'Matriz riesgos de gestión'!$Q$32="Mayor"),CONCATENATE("R",'Matriz riesgos de gestión'!$A$32),"")</f>
        <v/>
      </c>
      <c r="AC40" s="654"/>
      <c r="AD40" s="665" t="str">
        <f>IF(AND('Matriz riesgos de gestión'!$M$38="Muy Baja",'Matriz riesgos de gestión'!$Q$38="Mayor"),CONCATENATE("R",'Matriz riesgos de gestión'!$A$38),"")</f>
        <v/>
      </c>
      <c r="AE40" s="654"/>
      <c r="AF40" s="665" t="str">
        <f>IF(AND('Matriz riesgos de gestión'!$M$44="Muy Baja",'Matriz riesgos de gestión'!$Q$44="Mayor"),CONCATENATE("R",'Matriz riesgos de gestión'!$A$44),"")</f>
        <v/>
      </c>
      <c r="AG40" s="653"/>
      <c r="AH40" s="666" t="str">
        <f>IF(AND('Matriz riesgos de gestión'!$M$32="Muy Baja",'Matriz riesgos de gestión'!$Q$32="Catastrófico"),CONCATENATE("R",'Matriz riesgos de gestión'!$A$32),"")</f>
        <v/>
      </c>
      <c r="AI40" s="654"/>
      <c r="AJ40" s="667" t="str">
        <f>IF(AND('Matriz riesgos de gestión'!$M$38="Muy Baja",'Matriz riesgos de gestión'!$Q$38="Catastrófico"),CONCATENATE("R",'Matriz riesgos de gestión'!$A$38),"")</f>
        <v/>
      </c>
      <c r="AK40" s="654"/>
      <c r="AL40" s="667" t="str">
        <f>IF(AND('Matriz riesgos de gestión'!$M$44="Muy Baja",'Matriz riesgos de gestión'!$Q$44="Catastrófico"),CONCATENATE("R",'Matriz riesgos de gestión'!$A$44),"")</f>
        <v/>
      </c>
      <c r="AM40" s="653"/>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row>
    <row r="41" spans="1:61" ht="15.75" customHeight="1" x14ac:dyDescent="0.25">
      <c r="A41" s="115"/>
      <c r="B41" s="654"/>
      <c r="C41" s="670"/>
      <c r="D41" s="653"/>
      <c r="E41" s="659"/>
      <c r="F41" s="670"/>
      <c r="G41" s="670"/>
      <c r="H41" s="670"/>
      <c r="I41" s="653"/>
      <c r="J41" s="659"/>
      <c r="K41" s="654"/>
      <c r="L41" s="654"/>
      <c r="M41" s="654"/>
      <c r="N41" s="654"/>
      <c r="O41" s="653"/>
      <c r="P41" s="659"/>
      <c r="Q41" s="654"/>
      <c r="R41" s="654"/>
      <c r="S41" s="654"/>
      <c r="T41" s="654"/>
      <c r="U41" s="653"/>
      <c r="V41" s="659"/>
      <c r="W41" s="654"/>
      <c r="X41" s="654"/>
      <c r="Y41" s="654"/>
      <c r="Z41" s="654"/>
      <c r="AA41" s="653"/>
      <c r="AB41" s="659"/>
      <c r="AC41" s="654"/>
      <c r="AD41" s="654"/>
      <c r="AE41" s="654"/>
      <c r="AF41" s="654"/>
      <c r="AG41" s="653"/>
      <c r="AH41" s="659"/>
      <c r="AI41" s="654"/>
      <c r="AJ41" s="654"/>
      <c r="AK41" s="654"/>
      <c r="AL41" s="654"/>
      <c r="AM41" s="653"/>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row>
    <row r="42" spans="1:61" ht="15.75" customHeight="1" x14ac:dyDescent="0.25">
      <c r="A42" s="115"/>
      <c r="B42" s="654"/>
      <c r="C42" s="670"/>
      <c r="D42" s="653"/>
      <c r="E42" s="659"/>
      <c r="F42" s="670"/>
      <c r="G42" s="670"/>
      <c r="H42" s="670"/>
      <c r="I42" s="653"/>
      <c r="J42" s="675" t="str">
        <f>IF(AND('Matriz riesgos de gestión'!$M$50="Muy Baja",'Matriz riesgos de gestión'!$Q$50="Leve"),CONCATENATE("R",'Matriz riesgos de gestión'!$A$50),"")</f>
        <v/>
      </c>
      <c r="K42" s="654"/>
      <c r="L42" s="662" t="str">
        <f>IF(AND('Matriz riesgos de gestión'!$M$56="Muy Baja",'Matriz riesgos de gestión'!$Q$56="Leve"),CONCATENATE("R",'Matriz riesgos de gestión'!$A$56),"")</f>
        <v/>
      </c>
      <c r="M42" s="654"/>
      <c r="N42" s="662" t="str">
        <f>IF(AND('Matriz riesgos de gestión'!$M$62="Muy Baja",'Matriz riesgos de gestión'!$Q$62="Leve"),CONCATENATE("R",'Matriz riesgos de gestión'!$A$62),"")</f>
        <v/>
      </c>
      <c r="O42" s="653"/>
      <c r="P42" s="675" t="str">
        <f>IF(AND('Matriz riesgos de gestión'!$M$50="Muy Baja",'Matriz riesgos de gestión'!$Q$50="Menor"),CONCATENATE("R",'Matriz riesgos de gestión'!$A$50),"")</f>
        <v/>
      </c>
      <c r="Q42" s="654"/>
      <c r="R42" s="662" t="str">
        <f>IF(AND('Matriz riesgos de gestión'!$M$56="Muy Baja",'Matriz riesgos de gestión'!$Q$56="Menor"),CONCATENATE("R",'Matriz riesgos de gestión'!$A$56),"")</f>
        <v/>
      </c>
      <c r="S42" s="654"/>
      <c r="T42" s="662" t="str">
        <f>IF(AND('Matriz riesgos de gestión'!$M$62="Muy Baja",'Matriz riesgos de gestión'!$Q$62="Menor"),CONCATENATE("R",'Matriz riesgos de gestión'!$A$62),"")</f>
        <v/>
      </c>
      <c r="U42" s="653"/>
      <c r="V42" s="663" t="str">
        <f>IF(AND('Matriz riesgos de gestión'!$M$50="Muy Baja",'Matriz riesgos de gestión'!$Q$50="Moderado"),CONCATENATE("R",'Matriz riesgos de gestión'!$A$50),"")</f>
        <v/>
      </c>
      <c r="W42" s="654"/>
      <c r="X42" s="652" t="str">
        <f>IF(AND('Matriz riesgos de gestión'!$M$56="Muy Baja",'Matriz riesgos de gestión'!$Q$56="Moderado"),CONCATENATE("R",'Matriz riesgos de gestión'!$A$56),"")</f>
        <v/>
      </c>
      <c r="Y42" s="654"/>
      <c r="Z42" s="652" t="str">
        <f>IF(AND('Matriz riesgos de gestión'!$M$62="Muy Baja",'Matriz riesgos de gestión'!$Q$62="Moderado"),CONCATENATE("R",'Matriz riesgos de gestión'!$A$62),"")</f>
        <v/>
      </c>
      <c r="AA42" s="653"/>
      <c r="AB42" s="664" t="str">
        <f>IF(AND('Matriz riesgos de gestión'!$M$50="Muy Baja",'Matriz riesgos de gestión'!$Q$50="Mayor"),CONCATENATE("R",'Matriz riesgos de gestión'!$A$50),"")</f>
        <v/>
      </c>
      <c r="AC42" s="654"/>
      <c r="AD42" s="665" t="str">
        <f>IF(AND('Matriz riesgos de gestión'!$M$56="Muy Baja",'Matriz riesgos de gestión'!$Q$56="Mayor"),CONCATENATE("R",'Matriz riesgos de gestión'!$A$56),"")</f>
        <v/>
      </c>
      <c r="AE42" s="654"/>
      <c r="AF42" s="665" t="str">
        <f>IF(AND('Matriz riesgos de gestión'!$M$62="Muy Baja",'Matriz riesgos de gestión'!$Q$62="Mayor"),CONCATENATE("R",'Matriz riesgos de gestión'!$A$62),"")</f>
        <v/>
      </c>
      <c r="AG42" s="653"/>
      <c r="AH42" s="666" t="str">
        <f>IF(AND('Matriz riesgos de gestión'!$M$50="Muy Baja",'Matriz riesgos de gestión'!$Q$50="Catastrófico"),CONCATENATE("R",'Matriz riesgos de gestión'!$A$50),"")</f>
        <v/>
      </c>
      <c r="AI42" s="654"/>
      <c r="AJ42" s="667" t="str">
        <f>IF(AND('Matriz riesgos de gestión'!$M$56="Muy Baja",'Matriz riesgos de gestión'!$Q$56="Catastrófico"),CONCATENATE("R",'Matriz riesgos de gestión'!$A$56),"")</f>
        <v/>
      </c>
      <c r="AK42" s="654"/>
      <c r="AL42" s="667" t="str">
        <f>IF(AND('Matriz riesgos de gestión'!$M$62="Muy Baja",'Matriz riesgos de gestión'!$Q$62="Catastrófico"),CONCATENATE("R",'Matriz riesgos de gestión'!$A$62),"")</f>
        <v/>
      </c>
      <c r="AM42" s="653"/>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row>
    <row r="43" spans="1:61" ht="15.75" customHeight="1" x14ac:dyDescent="0.25">
      <c r="A43" s="115"/>
      <c r="B43" s="654"/>
      <c r="C43" s="670"/>
      <c r="D43" s="653"/>
      <c r="E43" s="659"/>
      <c r="F43" s="670"/>
      <c r="G43" s="670"/>
      <c r="H43" s="670"/>
      <c r="I43" s="653"/>
      <c r="J43" s="659"/>
      <c r="K43" s="654"/>
      <c r="L43" s="654"/>
      <c r="M43" s="654"/>
      <c r="N43" s="654"/>
      <c r="O43" s="653"/>
      <c r="P43" s="659"/>
      <c r="Q43" s="654"/>
      <c r="R43" s="654"/>
      <c r="S43" s="654"/>
      <c r="T43" s="654"/>
      <c r="U43" s="653"/>
      <c r="V43" s="659"/>
      <c r="W43" s="654"/>
      <c r="X43" s="654"/>
      <c r="Y43" s="654"/>
      <c r="Z43" s="654"/>
      <c r="AA43" s="653"/>
      <c r="AB43" s="659"/>
      <c r="AC43" s="654"/>
      <c r="AD43" s="654"/>
      <c r="AE43" s="654"/>
      <c r="AF43" s="654"/>
      <c r="AG43" s="653"/>
      <c r="AH43" s="659"/>
      <c r="AI43" s="654"/>
      <c r="AJ43" s="654"/>
      <c r="AK43" s="654"/>
      <c r="AL43" s="654"/>
      <c r="AM43" s="653"/>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row>
    <row r="44" spans="1:61" ht="15.75" customHeight="1" x14ac:dyDescent="0.25">
      <c r="A44" s="115"/>
      <c r="B44" s="654"/>
      <c r="C44" s="670"/>
      <c r="D44" s="653"/>
      <c r="E44" s="659"/>
      <c r="F44" s="670"/>
      <c r="G44" s="670"/>
      <c r="H44" s="670"/>
      <c r="I44" s="653"/>
      <c r="J44" s="675" t="str">
        <f>IF(AND('Matriz riesgos de gestión'!$M$68="Muy Baja",'Matriz riesgos de gestión'!$Q$68="Leve"),CONCATENATE("R",'Matriz riesgos de gestión'!$A$68),"")</f>
        <v/>
      </c>
      <c r="K44" s="654"/>
      <c r="L44" s="662" t="str">
        <f>IF(AND('Matriz riesgos de gestión'!$M$74="Muy Baja",'Matriz riesgos de gestión'!$Q$74="Leve"),CONCATENATE("R",'Matriz riesgos de gestión'!$A$74),"")</f>
        <v/>
      </c>
      <c r="M44" s="654"/>
      <c r="N44" s="662" t="str">
        <f>IF(AND('Matriz riesgos de gestión'!$M$80="Muy Baja",'Matriz riesgos de gestión'!$Q$80="Leve"),CONCATENATE("R",'Matriz riesgos de gestión'!$A$80),"")</f>
        <v/>
      </c>
      <c r="O44" s="653"/>
      <c r="P44" s="675" t="str">
        <f>IF(AND('Matriz riesgos de gestión'!$M$68="Muy Baja",'Matriz riesgos de gestión'!$Q$68="Menor"),CONCATENATE("R",'Matriz riesgos de gestión'!$A$68),"")</f>
        <v/>
      </c>
      <c r="Q44" s="654"/>
      <c r="R44" s="662" t="str">
        <f>IF(AND('Matriz riesgos de gestión'!$M$74="Muy Baja",'Matriz riesgos de gestión'!$Q$74="Menor"),CONCATENATE("R",'Matriz riesgos de gestión'!$A$74),"")</f>
        <v/>
      </c>
      <c r="S44" s="654"/>
      <c r="T44" s="662" t="str">
        <f>IF(AND('Matriz riesgos de gestión'!$M$80="Muy Baja",'Matriz riesgos de gestión'!$Q$80="Menor"),CONCATENATE("R",'Matriz riesgos de gestión'!$A$80),"")</f>
        <v/>
      </c>
      <c r="U44" s="653"/>
      <c r="V44" s="663" t="str">
        <f>IF(AND('Matriz riesgos de gestión'!$M$68="Muy Baja",'Matriz riesgos de gestión'!$Q$68="Moderado"),CONCATENATE("R",'Matriz riesgos de gestión'!$A$68),"")</f>
        <v/>
      </c>
      <c r="W44" s="654"/>
      <c r="X44" s="652" t="str">
        <f>IF(AND('Matriz riesgos de gestión'!$M$74="Muy Baja",'Matriz riesgos de gestión'!$Q$74="Moderado"),CONCATENATE("R",'Matriz riesgos de gestión'!$A$74),"")</f>
        <v/>
      </c>
      <c r="Y44" s="654"/>
      <c r="Z44" s="652" t="str">
        <f>IF(AND('Matriz riesgos de gestión'!$M$80="Muy Baja",'Matriz riesgos de gestión'!$Q$80="Moderado"),CONCATENATE("R",'Matriz riesgos de gestión'!$A$80),"")</f>
        <v/>
      </c>
      <c r="AA44" s="653"/>
      <c r="AB44" s="664" t="str">
        <f>IF(AND('Matriz riesgos de gestión'!$M$68="Muy Baja",'Matriz riesgos de gestión'!$Q$68="Mayor"),CONCATENATE("R",'Matriz riesgos de gestión'!$A$68),"")</f>
        <v/>
      </c>
      <c r="AC44" s="654"/>
      <c r="AD44" s="665" t="str">
        <f>IF(AND('Matriz riesgos de gestión'!$M$74="Muy Baja",'Matriz riesgos de gestión'!$Q$74="Mayor"),CONCATENATE("R",'Matriz riesgos de gestión'!$A$74),"")</f>
        <v/>
      </c>
      <c r="AE44" s="654"/>
      <c r="AF44" s="665" t="str">
        <f>IF(AND('Matriz riesgos de gestión'!$M$80="Muy Baja",'Matriz riesgos de gestión'!$Q$80="Mayor"),CONCATENATE("R",'Matriz riesgos de gestión'!$A$80),"")</f>
        <v/>
      </c>
      <c r="AG44" s="653"/>
      <c r="AH44" s="666" t="str">
        <f>IF(AND('Matriz riesgos de gestión'!$M$68="Muy Baja",'Matriz riesgos de gestión'!$Q$68="Catastrófico"),CONCATENATE("R",'Matriz riesgos de gestión'!$A$68),"")</f>
        <v/>
      </c>
      <c r="AI44" s="654"/>
      <c r="AJ44" s="667" t="str">
        <f>IF(AND('Matriz riesgos de gestión'!$M$74="Muy Baja",'Matriz riesgos de gestión'!$Q$74="Catastrófico"),CONCATENATE("R",'Matriz riesgos de gestión'!$A$74),"")</f>
        <v/>
      </c>
      <c r="AK44" s="654"/>
      <c r="AL44" s="667" t="str">
        <f>IF(AND('Matriz riesgos de gestión'!$M$80="Muy Baja",'Matriz riesgos de gestión'!$Q$80="Catastrófico"),CONCATENATE("R",'Matriz riesgos de gestión'!$A$80),"")</f>
        <v/>
      </c>
      <c r="AM44" s="653"/>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row>
    <row r="45" spans="1:61" ht="15.75" customHeight="1" x14ac:dyDescent="0.25">
      <c r="A45" s="115"/>
      <c r="B45" s="654"/>
      <c r="C45" s="654"/>
      <c r="D45" s="653"/>
      <c r="E45" s="671"/>
      <c r="F45" s="672"/>
      <c r="G45" s="672"/>
      <c r="H45" s="672"/>
      <c r="I45" s="673"/>
      <c r="J45" s="671"/>
      <c r="K45" s="672"/>
      <c r="L45" s="672"/>
      <c r="M45" s="672"/>
      <c r="N45" s="672"/>
      <c r="O45" s="673"/>
      <c r="P45" s="671"/>
      <c r="Q45" s="672"/>
      <c r="R45" s="672"/>
      <c r="S45" s="672"/>
      <c r="T45" s="672"/>
      <c r="U45" s="673"/>
      <c r="V45" s="671"/>
      <c r="W45" s="672"/>
      <c r="X45" s="672"/>
      <c r="Y45" s="672"/>
      <c r="Z45" s="672"/>
      <c r="AA45" s="673"/>
      <c r="AB45" s="671"/>
      <c r="AC45" s="672"/>
      <c r="AD45" s="672"/>
      <c r="AE45" s="672"/>
      <c r="AF45" s="672"/>
      <c r="AG45" s="673"/>
      <c r="AH45" s="671"/>
      <c r="AI45" s="672"/>
      <c r="AJ45" s="672"/>
      <c r="AK45" s="672"/>
      <c r="AL45" s="672"/>
      <c r="AM45" s="673"/>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row>
    <row r="46" spans="1:61" ht="15.75" customHeight="1" x14ac:dyDescent="0.25">
      <c r="A46" s="115"/>
      <c r="B46" s="115"/>
      <c r="C46" s="115"/>
      <c r="D46" s="115"/>
      <c r="E46" s="115"/>
      <c r="F46" s="115"/>
      <c r="G46" s="115"/>
      <c r="H46" s="115"/>
      <c r="I46" s="115"/>
      <c r="J46" s="669" t="s">
        <v>12</v>
      </c>
      <c r="K46" s="656"/>
      <c r="L46" s="656"/>
      <c r="M46" s="656"/>
      <c r="N46" s="656"/>
      <c r="O46" s="657"/>
      <c r="P46" s="669" t="s">
        <v>13</v>
      </c>
      <c r="Q46" s="656"/>
      <c r="R46" s="656"/>
      <c r="S46" s="656"/>
      <c r="T46" s="656"/>
      <c r="U46" s="657"/>
      <c r="V46" s="669" t="s">
        <v>14</v>
      </c>
      <c r="W46" s="656"/>
      <c r="X46" s="656"/>
      <c r="Y46" s="656"/>
      <c r="Z46" s="656"/>
      <c r="AA46" s="657"/>
      <c r="AB46" s="669" t="s">
        <v>15</v>
      </c>
      <c r="AC46" s="656"/>
      <c r="AD46" s="656"/>
      <c r="AE46" s="656"/>
      <c r="AF46" s="656"/>
      <c r="AG46" s="657"/>
      <c r="AH46" s="669" t="s">
        <v>16</v>
      </c>
      <c r="AI46" s="656"/>
      <c r="AJ46" s="656"/>
      <c r="AK46" s="656"/>
      <c r="AL46" s="656"/>
      <c r="AM46" s="657"/>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row>
    <row r="47" spans="1:61" ht="15.75" customHeight="1" x14ac:dyDescent="0.25">
      <c r="A47" s="115"/>
      <c r="B47" s="115"/>
      <c r="C47" s="115"/>
      <c r="D47" s="115"/>
      <c r="E47" s="115"/>
      <c r="F47" s="115"/>
      <c r="G47" s="115"/>
      <c r="H47" s="115"/>
      <c r="I47" s="115"/>
      <c r="J47" s="659"/>
      <c r="K47" s="670"/>
      <c r="L47" s="670"/>
      <c r="M47" s="670"/>
      <c r="N47" s="670"/>
      <c r="O47" s="653"/>
      <c r="P47" s="659"/>
      <c r="Q47" s="670"/>
      <c r="R47" s="670"/>
      <c r="S47" s="670"/>
      <c r="T47" s="670"/>
      <c r="U47" s="653"/>
      <c r="V47" s="659"/>
      <c r="W47" s="670"/>
      <c r="X47" s="670"/>
      <c r="Y47" s="670"/>
      <c r="Z47" s="670"/>
      <c r="AA47" s="653"/>
      <c r="AB47" s="659"/>
      <c r="AC47" s="670"/>
      <c r="AD47" s="670"/>
      <c r="AE47" s="670"/>
      <c r="AF47" s="670"/>
      <c r="AG47" s="653"/>
      <c r="AH47" s="659"/>
      <c r="AI47" s="670"/>
      <c r="AJ47" s="670"/>
      <c r="AK47" s="670"/>
      <c r="AL47" s="670"/>
      <c r="AM47" s="653"/>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row>
    <row r="48" spans="1:61" ht="15.75" customHeight="1" x14ac:dyDescent="0.25">
      <c r="A48" s="115"/>
      <c r="B48" s="115"/>
      <c r="C48" s="115"/>
      <c r="D48" s="115"/>
      <c r="E48" s="115"/>
      <c r="F48" s="115"/>
      <c r="G48" s="115"/>
      <c r="H48" s="115"/>
      <c r="I48" s="115"/>
      <c r="J48" s="659"/>
      <c r="K48" s="670"/>
      <c r="L48" s="670"/>
      <c r="M48" s="670"/>
      <c r="N48" s="670"/>
      <c r="O48" s="653"/>
      <c r="P48" s="659"/>
      <c r="Q48" s="670"/>
      <c r="R48" s="670"/>
      <c r="S48" s="670"/>
      <c r="T48" s="670"/>
      <c r="U48" s="653"/>
      <c r="V48" s="659"/>
      <c r="W48" s="670"/>
      <c r="X48" s="670"/>
      <c r="Y48" s="670"/>
      <c r="Z48" s="670"/>
      <c r="AA48" s="653"/>
      <c r="AB48" s="659"/>
      <c r="AC48" s="670"/>
      <c r="AD48" s="670"/>
      <c r="AE48" s="670"/>
      <c r="AF48" s="670"/>
      <c r="AG48" s="653"/>
      <c r="AH48" s="659"/>
      <c r="AI48" s="670"/>
      <c r="AJ48" s="670"/>
      <c r="AK48" s="670"/>
      <c r="AL48" s="670"/>
      <c r="AM48" s="653"/>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row>
    <row r="49" spans="1:61" ht="15.75" customHeight="1" x14ac:dyDescent="0.25">
      <c r="A49" s="115"/>
      <c r="B49" s="115"/>
      <c r="C49" s="115"/>
      <c r="D49" s="115"/>
      <c r="E49" s="115"/>
      <c r="F49" s="115"/>
      <c r="G49" s="115"/>
      <c r="H49" s="115"/>
      <c r="I49" s="115"/>
      <c r="J49" s="659"/>
      <c r="K49" s="670"/>
      <c r="L49" s="670"/>
      <c r="M49" s="670"/>
      <c r="N49" s="670"/>
      <c r="O49" s="653"/>
      <c r="P49" s="659"/>
      <c r="Q49" s="670"/>
      <c r="R49" s="670"/>
      <c r="S49" s="670"/>
      <c r="T49" s="670"/>
      <c r="U49" s="653"/>
      <c r="V49" s="659"/>
      <c r="W49" s="670"/>
      <c r="X49" s="670"/>
      <c r="Y49" s="670"/>
      <c r="Z49" s="670"/>
      <c r="AA49" s="653"/>
      <c r="AB49" s="659"/>
      <c r="AC49" s="670"/>
      <c r="AD49" s="670"/>
      <c r="AE49" s="670"/>
      <c r="AF49" s="670"/>
      <c r="AG49" s="653"/>
      <c r="AH49" s="659"/>
      <c r="AI49" s="670"/>
      <c r="AJ49" s="670"/>
      <c r="AK49" s="670"/>
      <c r="AL49" s="670"/>
      <c r="AM49" s="653"/>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row>
    <row r="50" spans="1:61" ht="15.75" customHeight="1" x14ac:dyDescent="0.25">
      <c r="A50" s="115"/>
      <c r="B50" s="115"/>
      <c r="C50" s="115"/>
      <c r="D50" s="115"/>
      <c r="E50" s="115"/>
      <c r="F50" s="115"/>
      <c r="G50" s="115"/>
      <c r="H50" s="115"/>
      <c r="I50" s="115"/>
      <c r="J50" s="659"/>
      <c r="K50" s="670"/>
      <c r="L50" s="670"/>
      <c r="M50" s="670"/>
      <c r="N50" s="670"/>
      <c r="O50" s="653"/>
      <c r="P50" s="659"/>
      <c r="Q50" s="670"/>
      <c r="R50" s="670"/>
      <c r="S50" s="670"/>
      <c r="T50" s="670"/>
      <c r="U50" s="653"/>
      <c r="V50" s="659"/>
      <c r="W50" s="670"/>
      <c r="X50" s="670"/>
      <c r="Y50" s="670"/>
      <c r="Z50" s="670"/>
      <c r="AA50" s="653"/>
      <c r="AB50" s="659"/>
      <c r="AC50" s="670"/>
      <c r="AD50" s="670"/>
      <c r="AE50" s="670"/>
      <c r="AF50" s="670"/>
      <c r="AG50" s="653"/>
      <c r="AH50" s="659"/>
      <c r="AI50" s="670"/>
      <c r="AJ50" s="670"/>
      <c r="AK50" s="670"/>
      <c r="AL50" s="670"/>
      <c r="AM50" s="653"/>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row>
    <row r="51" spans="1:61" ht="15.75" customHeight="1" x14ac:dyDescent="0.25">
      <c r="A51" s="115"/>
      <c r="B51" s="115"/>
      <c r="C51" s="115"/>
      <c r="D51" s="115"/>
      <c r="E51" s="115"/>
      <c r="F51" s="115"/>
      <c r="G51" s="115"/>
      <c r="H51" s="115"/>
      <c r="I51" s="115"/>
      <c r="J51" s="671"/>
      <c r="K51" s="672"/>
      <c r="L51" s="672"/>
      <c r="M51" s="672"/>
      <c r="N51" s="672"/>
      <c r="O51" s="673"/>
      <c r="P51" s="671"/>
      <c r="Q51" s="672"/>
      <c r="R51" s="672"/>
      <c r="S51" s="672"/>
      <c r="T51" s="672"/>
      <c r="U51" s="673"/>
      <c r="V51" s="671"/>
      <c r="W51" s="672"/>
      <c r="X51" s="672"/>
      <c r="Y51" s="672"/>
      <c r="Z51" s="672"/>
      <c r="AA51" s="673"/>
      <c r="AB51" s="671"/>
      <c r="AC51" s="672"/>
      <c r="AD51" s="672"/>
      <c r="AE51" s="672"/>
      <c r="AF51" s="672"/>
      <c r="AG51" s="673"/>
      <c r="AH51" s="671"/>
      <c r="AI51" s="672"/>
      <c r="AJ51" s="672"/>
      <c r="AK51" s="672"/>
      <c r="AL51" s="672"/>
      <c r="AM51" s="673"/>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row>
    <row r="52" spans="1:61" ht="15.75" customHeight="1" x14ac:dyDescent="0.25">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row>
    <row r="53" spans="1:61" ht="15" customHeight="1" x14ac:dyDescent="0.25">
      <c r="A53" s="115"/>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1"/>
      <c r="AJ53" s="141"/>
      <c r="AK53" s="141"/>
      <c r="AL53" s="141"/>
      <c r="AM53" s="141"/>
      <c r="AN53" s="141"/>
      <c r="AO53" s="141"/>
      <c r="AP53" s="141"/>
      <c r="AQ53" s="141"/>
      <c r="AR53" s="141"/>
      <c r="AS53" s="141"/>
      <c r="AT53" s="141"/>
      <c r="AU53" s="115"/>
      <c r="AV53" s="115"/>
      <c r="AW53" s="115"/>
      <c r="AX53" s="115"/>
      <c r="AY53" s="115"/>
      <c r="AZ53" s="115"/>
      <c r="BA53" s="115"/>
      <c r="BB53" s="115"/>
      <c r="BC53" s="115"/>
      <c r="BD53" s="115"/>
      <c r="BE53" s="115"/>
      <c r="BF53" s="115"/>
      <c r="BG53" s="115"/>
      <c r="BH53" s="115"/>
      <c r="BI53" s="115"/>
    </row>
    <row r="54" spans="1:61" ht="15" customHeight="1" x14ac:dyDescent="0.25">
      <c r="A54" s="115"/>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141"/>
      <c r="AB54" s="141"/>
      <c r="AC54" s="141"/>
      <c r="AD54" s="141"/>
      <c r="AE54" s="141"/>
      <c r="AF54" s="141"/>
      <c r="AG54" s="141"/>
      <c r="AH54" s="141"/>
      <c r="AI54" s="141"/>
      <c r="AJ54" s="141"/>
      <c r="AK54" s="141"/>
      <c r="AL54" s="141"/>
      <c r="AM54" s="141"/>
      <c r="AN54" s="141"/>
      <c r="AO54" s="141"/>
      <c r="AP54" s="141"/>
      <c r="AQ54" s="141"/>
      <c r="AR54" s="141"/>
      <c r="AS54" s="141"/>
      <c r="AT54" s="141"/>
      <c r="AU54" s="115"/>
      <c r="AV54" s="115"/>
      <c r="AW54" s="115"/>
      <c r="AX54" s="115"/>
      <c r="AY54" s="115"/>
      <c r="AZ54" s="115"/>
      <c r="BA54" s="115"/>
      <c r="BB54" s="115"/>
      <c r="BC54" s="115"/>
      <c r="BD54" s="115"/>
      <c r="BE54" s="115"/>
      <c r="BF54" s="115"/>
      <c r="BG54" s="115"/>
      <c r="BH54" s="115"/>
      <c r="BI54" s="115"/>
    </row>
    <row r="55" spans="1:61" ht="15.75" customHeight="1" x14ac:dyDescent="0.25">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row>
    <row r="56" spans="1:61" ht="15.75" customHeight="1" x14ac:dyDescent="0.25">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row>
    <row r="57" spans="1:61" ht="15.75" customHeight="1" x14ac:dyDescent="0.25">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row>
    <row r="58" spans="1:61" ht="15.75" customHeight="1" x14ac:dyDescent="0.25">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row>
    <row r="59" spans="1:61" ht="15.75" customHeight="1" x14ac:dyDescent="0.25">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row>
    <row r="60" spans="1:61" ht="15.75" customHeight="1" x14ac:dyDescent="0.25">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row>
    <row r="61" spans="1:61" ht="15.75" customHeight="1" x14ac:dyDescent="0.25">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row>
    <row r="62" spans="1:61" ht="15.75" customHeight="1" x14ac:dyDescent="0.25">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row>
    <row r="63" spans="1:61" ht="15.75" customHeight="1" x14ac:dyDescent="0.25">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row>
    <row r="64" spans="1:61" ht="15.75" customHeight="1" x14ac:dyDescent="0.25">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row>
    <row r="65" spans="1:61" ht="15.75" customHeight="1" x14ac:dyDescent="0.25">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row>
    <row r="66" spans="1:61" ht="15.75" customHeight="1" x14ac:dyDescent="0.25">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row>
    <row r="67" spans="1:61" ht="15.75" customHeight="1" x14ac:dyDescent="0.25">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row>
    <row r="68" spans="1:61" ht="15.75" customHeight="1" x14ac:dyDescent="0.25">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row>
    <row r="69" spans="1:61" ht="15.75" customHeight="1" x14ac:dyDescent="0.25">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row>
    <row r="70" spans="1:61" ht="15.75" customHeight="1" x14ac:dyDescent="0.25">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row>
    <row r="71" spans="1:61" ht="15.75" customHeight="1" x14ac:dyDescent="0.25">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row>
    <row r="72" spans="1:61" ht="15.75" customHeight="1" x14ac:dyDescent="0.25">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row>
    <row r="73" spans="1:61" ht="15.75" customHeight="1" x14ac:dyDescent="0.25">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row>
    <row r="74" spans="1:61" ht="15.75" customHeight="1" x14ac:dyDescent="0.25">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row>
    <row r="75" spans="1:61" ht="15.75" customHeight="1" x14ac:dyDescent="0.25">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row>
    <row r="76" spans="1:61" ht="15.75" customHeight="1" x14ac:dyDescent="0.25">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row>
    <row r="77" spans="1:61" ht="15.75"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row>
    <row r="78" spans="1:61" ht="15.75" customHeight="1" x14ac:dyDescent="0.25">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row>
    <row r="79" spans="1:61" ht="15.75"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row>
    <row r="80" spans="1:61" ht="15.75" customHeight="1" x14ac:dyDescent="0.25">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row>
    <row r="81" spans="1:61" ht="15.75" customHeight="1" x14ac:dyDescent="0.25">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row>
    <row r="82" spans="1:61" ht="15.75" customHeight="1" x14ac:dyDescent="0.25">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row>
    <row r="83" spans="1:61" ht="15.75" customHeight="1" x14ac:dyDescent="0.25">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row>
    <row r="84" spans="1:61" ht="15.75" customHeight="1" x14ac:dyDescent="0.25">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row>
    <row r="85" spans="1:61" ht="15.75" customHeight="1" x14ac:dyDescent="0.25">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row>
    <row r="86" spans="1:61" ht="15.75" customHeight="1" x14ac:dyDescent="0.25">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row>
    <row r="87" spans="1:61" ht="15.75" customHeight="1" x14ac:dyDescent="0.25">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row>
    <row r="88" spans="1:61" ht="15.75" customHeight="1" x14ac:dyDescent="0.25">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row>
    <row r="89" spans="1:61" ht="15.75" customHeight="1" x14ac:dyDescent="0.25">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row>
    <row r="90" spans="1:61" ht="15.75" customHeight="1" x14ac:dyDescent="0.25">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row>
    <row r="91" spans="1:61" ht="15.75" customHeight="1" x14ac:dyDescent="0.25">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row>
    <row r="92" spans="1:61" ht="15.75" customHeight="1" x14ac:dyDescent="0.25">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row>
    <row r="93" spans="1:61" ht="15.75" customHeight="1" x14ac:dyDescent="0.25">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row>
    <row r="94" spans="1:61" ht="15.75" customHeight="1" x14ac:dyDescent="0.25">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row>
    <row r="95" spans="1:61" ht="15.75" customHeight="1" x14ac:dyDescent="0.25">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row>
    <row r="96" spans="1:61" ht="15.75" customHeight="1" x14ac:dyDescent="0.25">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row>
    <row r="97" spans="1:61" ht="15.75" customHeight="1" x14ac:dyDescent="0.25">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row>
    <row r="98" spans="1:61" ht="15.75" customHeight="1" x14ac:dyDescent="0.25">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row>
    <row r="99" spans="1:61" ht="15.75" customHeight="1" x14ac:dyDescent="0.25">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row>
    <row r="100" spans="1:61" ht="15.75"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row>
    <row r="101" spans="1:61" ht="15.75" customHeight="1" x14ac:dyDescent="0.25">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row>
    <row r="102" spans="1:61" ht="15.75" customHeight="1" x14ac:dyDescent="0.25">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row>
    <row r="103" spans="1:61" ht="15.75" customHeight="1" x14ac:dyDescent="0.25">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row>
    <row r="104" spans="1:61" ht="15.75" customHeight="1" x14ac:dyDescent="0.25">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row>
    <row r="105" spans="1:61" ht="15.75" customHeight="1" x14ac:dyDescent="0.25">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row>
    <row r="106" spans="1:61" ht="15.75" customHeight="1" x14ac:dyDescent="0.25">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row>
    <row r="107" spans="1:61" ht="15.75" customHeight="1" x14ac:dyDescent="0.25">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row>
    <row r="108" spans="1:61" ht="15.75" customHeight="1" x14ac:dyDescent="0.25">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row>
    <row r="109" spans="1:61" ht="15.75" customHeight="1" x14ac:dyDescent="0.25">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row>
    <row r="110" spans="1:61" ht="15.75" customHeight="1" x14ac:dyDescent="0.25">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row>
    <row r="111" spans="1:61" ht="15.75"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row>
    <row r="112" spans="1:61" ht="15.75" customHeight="1" x14ac:dyDescent="0.25">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row>
    <row r="113" spans="1:61" ht="15.75" customHeight="1" x14ac:dyDescent="0.25">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row>
    <row r="114" spans="1:61" ht="15.75" customHeight="1" x14ac:dyDescent="0.25">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row>
    <row r="115" spans="1:61" ht="15.75" customHeight="1" x14ac:dyDescent="0.25">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row>
    <row r="116" spans="1:61" ht="15.75" customHeight="1" x14ac:dyDescent="0.25">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row>
    <row r="117" spans="1:61" ht="15.75" customHeight="1" x14ac:dyDescent="0.25">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row>
    <row r="118" spans="1:61" ht="15.75" customHeight="1" x14ac:dyDescent="0.25">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row>
    <row r="119" spans="1:61" ht="15.75" customHeight="1" x14ac:dyDescent="0.25">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row>
    <row r="120" spans="1:61" ht="15.75" customHeight="1" x14ac:dyDescent="0.25">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row>
    <row r="121" spans="1:61" ht="15.75" customHeight="1" x14ac:dyDescent="0.25">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row>
    <row r="122" spans="1:61" ht="15.75" customHeight="1" x14ac:dyDescent="0.2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row>
    <row r="123" spans="1:61" ht="15.75" customHeight="1" x14ac:dyDescent="0.2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row>
    <row r="124" spans="1:61" ht="15.75" customHeight="1" x14ac:dyDescent="0.2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row>
    <row r="125" spans="1:61" ht="15.75" customHeight="1" x14ac:dyDescent="0.2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row>
    <row r="126" spans="1:61" ht="15.75" customHeight="1" x14ac:dyDescent="0.2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row>
    <row r="127" spans="1:61" ht="15.75" customHeight="1" x14ac:dyDescent="0.2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row>
    <row r="128" spans="1:61" ht="15.75" customHeight="1" x14ac:dyDescent="0.2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row>
    <row r="129" spans="2:61" ht="15.75" customHeight="1" x14ac:dyDescent="0.2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row>
    <row r="130" spans="2:61" ht="15.75" customHeight="1" x14ac:dyDescent="0.2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row>
    <row r="131" spans="2:61" ht="15.75" customHeight="1" x14ac:dyDescent="0.2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row>
    <row r="132" spans="2:61" ht="15.75" customHeight="1" x14ac:dyDescent="0.2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row>
    <row r="133" spans="2:61" ht="15.75" customHeight="1" x14ac:dyDescent="0.2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row>
    <row r="134" spans="2:61" ht="15.75" customHeight="1" x14ac:dyDescent="0.2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row>
    <row r="135" spans="2:61" ht="15.75" customHeight="1" x14ac:dyDescent="0.2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row>
    <row r="136" spans="2:61" ht="15.75" customHeight="1" x14ac:dyDescent="0.2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row>
    <row r="137" spans="2:61" ht="15.75" customHeight="1" x14ac:dyDescent="0.25">
      <c r="B137" s="115"/>
      <c r="C137" s="115"/>
      <c r="D137" s="115"/>
      <c r="E137" s="115"/>
      <c r="F137" s="115"/>
      <c r="G137" s="115"/>
      <c r="H137" s="115"/>
      <c r="I137" s="115"/>
    </row>
    <row r="138" spans="2:61" ht="15.75" customHeight="1" x14ac:dyDescent="0.25">
      <c r="B138" s="115"/>
      <c r="C138" s="115"/>
      <c r="D138" s="115"/>
      <c r="E138" s="115"/>
      <c r="F138" s="115"/>
      <c r="G138" s="115"/>
      <c r="H138" s="115"/>
      <c r="I138" s="115"/>
    </row>
    <row r="139" spans="2:61" ht="15.75" customHeight="1" x14ac:dyDescent="0.25">
      <c r="B139" s="115"/>
      <c r="C139" s="115"/>
      <c r="D139" s="115"/>
      <c r="E139" s="115"/>
      <c r="F139" s="115"/>
      <c r="G139" s="115"/>
      <c r="H139" s="115"/>
      <c r="I139" s="115"/>
    </row>
    <row r="140" spans="2:61" ht="15.75" customHeight="1" x14ac:dyDescent="0.25">
      <c r="B140" s="115"/>
      <c r="C140" s="115"/>
      <c r="D140" s="115"/>
      <c r="E140" s="115"/>
      <c r="F140" s="115"/>
      <c r="G140" s="115"/>
      <c r="H140" s="115"/>
      <c r="I140" s="115"/>
    </row>
    <row r="141" spans="2:61" ht="15.75" customHeight="1" x14ac:dyDescent="0.2"/>
    <row r="142" spans="2:61" ht="15.75" customHeight="1" x14ac:dyDescent="0.2"/>
    <row r="143" spans="2:61" ht="15.75" customHeight="1" x14ac:dyDescent="0.2"/>
    <row r="144" spans="2:61"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17">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 ref="J8:K9"/>
    <mergeCell ref="L8:M9"/>
    <mergeCell ref="J12:K13"/>
    <mergeCell ref="L12:M13"/>
    <mergeCell ref="N12:O13"/>
    <mergeCell ref="P12:Q13"/>
    <mergeCell ref="R12:S13"/>
    <mergeCell ref="J6:K7"/>
    <mergeCell ref="J10:K11"/>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T12:U13"/>
    <mergeCell ref="V12:W13"/>
    <mergeCell ref="X12:Y13"/>
    <mergeCell ref="Z12:AA13"/>
    <mergeCell ref="AB12:AC13"/>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E38:I45"/>
    <mergeCell ref="J38:K39"/>
    <mergeCell ref="J40:K41"/>
    <mergeCell ref="J42:K43"/>
    <mergeCell ref="J44:K45"/>
    <mergeCell ref="L42:M43"/>
    <mergeCell ref="N42:O43"/>
    <mergeCell ref="AJ40:AK41"/>
    <mergeCell ref="AL40:AM41"/>
    <mergeCell ref="T38:U39"/>
    <mergeCell ref="V38:W39"/>
    <mergeCell ref="X38:Y39"/>
    <mergeCell ref="Z38:AA39"/>
    <mergeCell ref="AB38:AC39"/>
    <mergeCell ref="AD38:AE39"/>
    <mergeCell ref="AF38:AG39"/>
    <mergeCell ref="AH38:AI39"/>
    <mergeCell ref="AJ38:AK39"/>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AL38:AM39"/>
    <mergeCell ref="L40:M41"/>
    <mergeCell ref="N40:O41"/>
    <mergeCell ref="P40:Q41"/>
    <mergeCell ref="R40:S41"/>
    <mergeCell ref="T40:U41"/>
    <mergeCell ref="V40:W41"/>
    <mergeCell ref="AD42:AE43"/>
    <mergeCell ref="AF42:AG43"/>
    <mergeCell ref="AH42:AI43"/>
    <mergeCell ref="AH36:AI37"/>
    <mergeCell ref="L28:M29"/>
    <mergeCell ref="AB28:AC29"/>
    <mergeCell ref="AD28:AE29"/>
    <mergeCell ref="P42:Q43"/>
    <mergeCell ref="R42:S43"/>
    <mergeCell ref="T42:U43"/>
    <mergeCell ref="V42:W43"/>
    <mergeCell ref="X42:Y43"/>
    <mergeCell ref="Z42:AA43"/>
    <mergeCell ref="AB42:AC43"/>
    <mergeCell ref="X40:Y41"/>
    <mergeCell ref="Z40:AA41"/>
    <mergeCell ref="AB40:AC41"/>
    <mergeCell ref="AD40:AE41"/>
    <mergeCell ref="AF40:AG41"/>
    <mergeCell ref="AH40:AI41"/>
    <mergeCell ref="AH30:AI31"/>
    <mergeCell ref="T34:U35"/>
    <mergeCell ref="V34:W35"/>
    <mergeCell ref="X34:Y35"/>
    <mergeCell ref="J46:O51"/>
    <mergeCell ref="P44:Q45"/>
    <mergeCell ref="R44:S45"/>
    <mergeCell ref="P46:U51"/>
    <mergeCell ref="T44:U45"/>
    <mergeCell ref="V44:W45"/>
    <mergeCell ref="X44:Y45"/>
    <mergeCell ref="Z44:AA45"/>
    <mergeCell ref="V46:AA51"/>
    <mergeCell ref="AJ44:AK45"/>
    <mergeCell ref="AB46:AG51"/>
    <mergeCell ref="AH46:AM51"/>
    <mergeCell ref="AF44:AG45"/>
    <mergeCell ref="AH44:AI45"/>
    <mergeCell ref="T22:U23"/>
    <mergeCell ref="V22:W23"/>
    <mergeCell ref="X22:Y23"/>
    <mergeCell ref="Z22:AA23"/>
    <mergeCell ref="AB22:AC23"/>
    <mergeCell ref="AD22:AE23"/>
    <mergeCell ref="AF22:AG23"/>
    <mergeCell ref="AH22:AI23"/>
    <mergeCell ref="AF28:AG29"/>
    <mergeCell ref="AH28:AI29"/>
    <mergeCell ref="AJ28:AK29"/>
    <mergeCell ref="AL28:AM29"/>
    <mergeCell ref="AH24:AI25"/>
    <mergeCell ref="T24:U25"/>
    <mergeCell ref="V24:W25"/>
    <mergeCell ref="X24:Y25"/>
    <mergeCell ref="Z24:AA25"/>
    <mergeCell ref="AB24:AC25"/>
    <mergeCell ref="AJ22:AK23"/>
    <mergeCell ref="E14:I21"/>
    <mergeCell ref="J14:K15"/>
    <mergeCell ref="J16:K17"/>
    <mergeCell ref="J18:K19"/>
    <mergeCell ref="J20:K21"/>
    <mergeCell ref="P20:Q21"/>
    <mergeCell ref="R20:S21"/>
    <mergeCell ref="L22:M23"/>
    <mergeCell ref="N22:O23"/>
    <mergeCell ref="P22:Q23"/>
    <mergeCell ref="R22:S23"/>
    <mergeCell ref="E22:I29"/>
    <mergeCell ref="J28:K29"/>
    <mergeCell ref="J22:K23"/>
    <mergeCell ref="J24:K25"/>
    <mergeCell ref="J26:K27"/>
    <mergeCell ref="P24:Q25"/>
    <mergeCell ref="R24:S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L26:AM27"/>
    <mergeCell ref="AJ26:AK27"/>
    <mergeCell ref="Z34:AA35"/>
    <mergeCell ref="X30:Y31"/>
    <mergeCell ref="Z30:AA31"/>
    <mergeCell ref="AB30:AC31"/>
    <mergeCell ref="AD30:AE31"/>
    <mergeCell ref="AF30:AG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T30:U31"/>
    <mergeCell ref="V30:W31"/>
  </mergeCells>
  <pageMargins left="0.70866141732283472" right="0.70866141732283472" top="0.74803149606299213" bottom="0.74803149606299213" header="0" footer="0"/>
  <pageSetup scale="34" orientation="portrait" r:id="rId1"/>
  <headerFooter>
    <oddHeader>&amp;L&amp;G&amp;C
MATRIZ DE RIESGOS&amp;RCódigo:E-02-F-014
Versión: 4
Fecha: Ver Isolución</oddHeader>
  </headerFooter>
  <colBreaks count="1" manualBreakCount="1">
    <brk id="46" max="139" man="1"/>
  </col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I13"/>
  <sheetViews>
    <sheetView showGridLines="0" workbookViewId="0">
      <selection activeCell="N12" sqref="N12"/>
    </sheetView>
  </sheetViews>
  <sheetFormatPr baseColWidth="10" defaultColWidth="10" defaultRowHeight="15" x14ac:dyDescent="0.25"/>
  <cols>
    <col min="1" max="1" width="10" style="84"/>
    <col min="2" max="2" width="4" style="84" customWidth="1"/>
    <col min="3" max="3" width="7.75" style="84" bestFit="1" customWidth="1"/>
    <col min="4" max="4" width="3.625" style="84" customWidth="1"/>
    <col min="5" max="9" width="9.875" style="84" customWidth="1"/>
    <col min="10" max="16384" width="10" style="84"/>
  </cols>
  <sheetData>
    <row r="3" spans="2:9" ht="15.75" thickTop="1" x14ac:dyDescent="0.25"/>
    <row r="4" spans="2:9" ht="39" customHeight="1" x14ac:dyDescent="0.25">
      <c r="B4" s="841"/>
      <c r="C4" s="82" t="s">
        <v>1302</v>
      </c>
      <c r="D4" s="82">
        <v>5</v>
      </c>
      <c r="E4" s="85"/>
      <c r="F4" s="86"/>
      <c r="G4" s="87"/>
      <c r="H4" s="87"/>
      <c r="I4" s="88"/>
    </row>
    <row r="5" spans="2:9" ht="39" customHeight="1" x14ac:dyDescent="0.25">
      <c r="B5" s="841"/>
      <c r="C5" s="82" t="s">
        <v>1303</v>
      </c>
      <c r="D5" s="82">
        <v>4</v>
      </c>
      <c r="E5" s="89"/>
      <c r="F5" s="90"/>
      <c r="G5" s="90"/>
      <c r="H5" s="91"/>
      <c r="I5" s="92"/>
    </row>
    <row r="6" spans="2:9" ht="39" customHeight="1" x14ac:dyDescent="0.25">
      <c r="B6" s="841"/>
      <c r="C6" s="82" t="s">
        <v>1304</v>
      </c>
      <c r="D6" s="82">
        <v>3</v>
      </c>
      <c r="E6" s="93"/>
      <c r="F6" s="94"/>
      <c r="G6" s="95" t="s">
        <v>1305</v>
      </c>
      <c r="H6" s="91"/>
      <c r="I6" s="92"/>
    </row>
    <row r="7" spans="2:9" ht="39" customHeight="1" x14ac:dyDescent="0.25">
      <c r="B7" s="841"/>
      <c r="C7" s="82" t="s">
        <v>1306</v>
      </c>
      <c r="D7" s="82">
        <v>2</v>
      </c>
      <c r="E7" s="93"/>
      <c r="F7" s="96" t="s">
        <v>1305</v>
      </c>
      <c r="G7" s="94"/>
      <c r="H7" s="90"/>
      <c r="I7" s="92"/>
    </row>
    <row r="8" spans="2:9" ht="39" customHeight="1" thickBot="1" x14ac:dyDescent="0.3">
      <c r="B8" s="841"/>
      <c r="C8" s="82" t="s">
        <v>1307</v>
      </c>
      <c r="D8" s="82">
        <v>1</v>
      </c>
      <c r="E8" s="97"/>
      <c r="F8" s="98"/>
      <c r="G8" s="99"/>
      <c r="H8" s="100"/>
      <c r="I8" s="101"/>
    </row>
    <row r="9" spans="2:9" x14ac:dyDescent="0.25">
      <c r="E9" s="82">
        <v>1</v>
      </c>
      <c r="F9" s="82">
        <v>2</v>
      </c>
      <c r="G9" s="82">
        <v>3</v>
      </c>
      <c r="H9" s="82">
        <v>4</v>
      </c>
      <c r="I9" s="82">
        <v>5</v>
      </c>
    </row>
    <row r="10" spans="2:9" x14ac:dyDescent="0.25">
      <c r="E10" s="82" t="s">
        <v>1308</v>
      </c>
      <c r="F10" s="82" t="s">
        <v>185</v>
      </c>
      <c r="G10" s="82" t="s">
        <v>8</v>
      </c>
      <c r="H10" s="82" t="s">
        <v>281</v>
      </c>
      <c r="I10" s="82" t="s">
        <v>342</v>
      </c>
    </row>
    <row r="11" spans="2:9" x14ac:dyDescent="0.25">
      <c r="E11" s="842"/>
      <c r="F11" s="842"/>
      <c r="G11" s="842"/>
      <c r="H11" s="842"/>
      <c r="I11" s="842"/>
    </row>
    <row r="13" spans="2:9" x14ac:dyDescent="0.25">
      <c r="G13" s="83" t="s">
        <v>1309</v>
      </c>
    </row>
  </sheetData>
  <mergeCells count="2">
    <mergeCell ref="B4:B8"/>
    <mergeCell ref="E11:I11"/>
  </mergeCells>
  <pageMargins left="0.70866141732283472" right="0.70866141732283472" top="0.74803149606299213" bottom="0.74803149606299213" header="0.31496062992125984" footer="0.31496062992125984"/>
  <pageSetup paperSize="9" orientation="portrait" r:id="rId1"/>
  <headerFooter>
    <oddHeader>&amp;L&amp;G&amp;C
MATRIZ DE RIESGOS&amp;RCódigo:E-02-F-014
Versión: 4 
Fecha: Ver Isolución</oddHeader>
  </headerFooter>
  <drawing r:id="rId2"/>
  <legacyDrawingHF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5:B62"/>
  <sheetViews>
    <sheetView showGridLines="0" topLeftCell="A42" workbookViewId="0">
      <selection activeCell="D89" sqref="D89"/>
    </sheetView>
  </sheetViews>
  <sheetFormatPr baseColWidth="10" defaultColWidth="11" defaultRowHeight="15" x14ac:dyDescent="0.2"/>
  <cols>
    <col min="1" max="1" width="19.25" style="73" customWidth="1"/>
    <col min="2" max="2" width="59.625" style="73" customWidth="1"/>
    <col min="3" max="16384" width="11" style="73"/>
  </cols>
  <sheetData>
    <row r="5" spans="1:2" ht="34.5" customHeight="1" x14ac:dyDescent="0.2">
      <c r="A5" s="843" t="s">
        <v>1310</v>
      </c>
      <c r="B5" s="843"/>
    </row>
    <row r="6" spans="1:2" ht="10.5" customHeight="1" x14ac:dyDescent="0.2">
      <c r="A6" s="844"/>
      <c r="B6" s="844"/>
    </row>
    <row r="7" spans="1:2" ht="65.25" customHeight="1" x14ac:dyDescent="0.2">
      <c r="A7" s="845" t="s">
        <v>1311</v>
      </c>
      <c r="B7" s="845"/>
    </row>
    <row r="8" spans="1:2" ht="9.75" customHeight="1" x14ac:dyDescent="0.2">
      <c r="A8" s="844"/>
      <c r="B8" s="844"/>
    </row>
    <row r="9" spans="1:2" ht="15.75" x14ac:dyDescent="0.2">
      <c r="A9" s="74" t="s">
        <v>82</v>
      </c>
      <c r="B9" s="74" t="s">
        <v>1312</v>
      </c>
    </row>
    <row r="10" spans="1:2" ht="73.5" customHeight="1" x14ac:dyDescent="0.2">
      <c r="A10" s="204" t="s">
        <v>1313</v>
      </c>
      <c r="B10" s="203" t="s">
        <v>1314</v>
      </c>
    </row>
    <row r="11" spans="1:2" ht="27.75" customHeight="1" x14ac:dyDescent="0.2">
      <c r="A11" s="204" t="s">
        <v>1315</v>
      </c>
      <c r="B11" s="75" t="s">
        <v>1316</v>
      </c>
    </row>
    <row r="12" spans="1:2" ht="38.25" customHeight="1" x14ac:dyDescent="0.2">
      <c r="A12" s="204" t="s">
        <v>1312</v>
      </c>
      <c r="B12" s="75" t="s">
        <v>1317</v>
      </c>
    </row>
    <row r="13" spans="1:2" ht="114.75" x14ac:dyDescent="0.2">
      <c r="A13" s="204" t="s">
        <v>86</v>
      </c>
      <c r="B13" s="203" t="s">
        <v>1318</v>
      </c>
    </row>
    <row r="14" spans="1:2" ht="25.5" x14ac:dyDescent="0.2">
      <c r="A14" s="204" t="s">
        <v>1319</v>
      </c>
      <c r="B14" s="203" t="s">
        <v>1320</v>
      </c>
    </row>
    <row r="15" spans="1:2" ht="30" x14ac:dyDescent="0.2">
      <c r="A15" s="204" t="s">
        <v>1321</v>
      </c>
      <c r="B15" s="203" t="s">
        <v>1322</v>
      </c>
    </row>
    <row r="16" spans="1:2" ht="38.25" x14ac:dyDescent="0.2">
      <c r="A16" s="204" t="s">
        <v>1323</v>
      </c>
      <c r="B16" s="203" t="s">
        <v>1324</v>
      </c>
    </row>
    <row r="17" spans="1:2" ht="39" customHeight="1" x14ac:dyDescent="0.2">
      <c r="A17" s="204" t="s">
        <v>1325</v>
      </c>
      <c r="B17" s="203" t="s">
        <v>1326</v>
      </c>
    </row>
    <row r="18" spans="1:2" ht="33.75" customHeight="1" x14ac:dyDescent="0.2">
      <c r="A18" s="204" t="s">
        <v>1327</v>
      </c>
      <c r="B18" s="203" t="s">
        <v>1328</v>
      </c>
    </row>
    <row r="19" spans="1:2" ht="102" x14ac:dyDescent="0.2">
      <c r="A19" s="204" t="s">
        <v>1329</v>
      </c>
      <c r="B19" s="203" t="s">
        <v>1330</v>
      </c>
    </row>
    <row r="20" spans="1:2" ht="38.25" x14ac:dyDescent="0.2">
      <c r="A20" s="204" t="s">
        <v>1331</v>
      </c>
      <c r="B20" s="203" t="s">
        <v>1332</v>
      </c>
    </row>
    <row r="21" spans="1:2" ht="63.75" x14ac:dyDescent="0.2">
      <c r="A21" s="204" t="s">
        <v>2</v>
      </c>
      <c r="B21" s="203" t="s">
        <v>1333</v>
      </c>
    </row>
    <row r="22" spans="1:2" ht="52.5" customHeight="1" x14ac:dyDescent="0.2">
      <c r="A22" s="846" t="s">
        <v>1</v>
      </c>
      <c r="B22" s="849" t="s">
        <v>1334</v>
      </c>
    </row>
    <row r="23" spans="1:2" ht="52.5" customHeight="1" x14ac:dyDescent="0.2">
      <c r="A23" s="847"/>
      <c r="B23" s="850"/>
    </row>
    <row r="24" spans="1:2" ht="52.5" customHeight="1" x14ac:dyDescent="0.2">
      <c r="A24" s="848"/>
      <c r="B24" s="851"/>
    </row>
    <row r="25" spans="1:2" ht="38.25" x14ac:dyDescent="0.2">
      <c r="A25" s="204" t="s">
        <v>1335</v>
      </c>
      <c r="B25" s="203" t="s">
        <v>1336</v>
      </c>
    </row>
    <row r="26" spans="1:2" ht="38.25" x14ac:dyDescent="0.2">
      <c r="A26" s="204" t="s">
        <v>1337</v>
      </c>
      <c r="B26" s="203" t="s">
        <v>1338</v>
      </c>
    </row>
    <row r="27" spans="1:2" ht="216.75" x14ac:dyDescent="0.2">
      <c r="A27" s="204" t="s">
        <v>1339</v>
      </c>
      <c r="B27" s="203" t="s">
        <v>1340</v>
      </c>
    </row>
    <row r="28" spans="1:2" ht="33" customHeight="1" x14ac:dyDescent="0.2">
      <c r="A28" s="204" t="s">
        <v>1341</v>
      </c>
      <c r="B28" s="203" t="s">
        <v>1342</v>
      </c>
    </row>
    <row r="29" spans="1:2" ht="204" x14ac:dyDescent="0.2">
      <c r="A29" s="204" t="s">
        <v>1343</v>
      </c>
      <c r="B29" s="203" t="s">
        <v>1344</v>
      </c>
    </row>
    <row r="30" spans="1:2" ht="30" x14ac:dyDescent="0.2">
      <c r="A30" s="204" t="s">
        <v>1345</v>
      </c>
      <c r="B30" s="203" t="s">
        <v>1346</v>
      </c>
    </row>
    <row r="31" spans="1:2" ht="51" x14ac:dyDescent="0.2">
      <c r="A31" s="204" t="s">
        <v>1347</v>
      </c>
      <c r="B31" s="203" t="s">
        <v>1348</v>
      </c>
    </row>
    <row r="32" spans="1:2" ht="51" x14ac:dyDescent="0.2">
      <c r="A32" s="204" t="s">
        <v>1349</v>
      </c>
      <c r="B32" s="203" t="s">
        <v>1350</v>
      </c>
    </row>
    <row r="33" spans="1:2" ht="63.75" x14ac:dyDescent="0.2">
      <c r="A33" s="204" t="s">
        <v>1351</v>
      </c>
      <c r="B33" s="203" t="s">
        <v>1352</v>
      </c>
    </row>
    <row r="34" spans="1:2" ht="30" x14ac:dyDescent="0.2">
      <c r="A34" s="204" t="s">
        <v>1353</v>
      </c>
      <c r="B34" s="203" t="s">
        <v>1354</v>
      </c>
    </row>
    <row r="35" spans="1:2" ht="45" x14ac:dyDescent="0.2">
      <c r="A35" s="204" t="s">
        <v>1355</v>
      </c>
      <c r="B35" s="203" t="s">
        <v>1356</v>
      </c>
    </row>
    <row r="36" spans="1:2" ht="30" x14ac:dyDescent="0.2">
      <c r="A36" s="204" t="s">
        <v>1357</v>
      </c>
      <c r="B36" s="203" t="s">
        <v>1358</v>
      </c>
    </row>
    <row r="37" spans="1:2" ht="76.5" x14ac:dyDescent="0.2">
      <c r="A37" s="205" t="s">
        <v>1345</v>
      </c>
      <c r="B37" s="203" t="s">
        <v>1359</v>
      </c>
    </row>
    <row r="38" spans="1:2" ht="89.25" x14ac:dyDescent="0.2">
      <c r="A38" s="205" t="s">
        <v>1347</v>
      </c>
      <c r="B38" s="203" t="s">
        <v>1360</v>
      </c>
    </row>
    <row r="39" spans="1:2" ht="102" x14ac:dyDescent="0.2">
      <c r="A39" s="205" t="s">
        <v>1349</v>
      </c>
      <c r="B39" s="203" t="s">
        <v>1361</v>
      </c>
    </row>
    <row r="40" spans="1:2" ht="114.75" x14ac:dyDescent="0.2">
      <c r="A40" s="205" t="s">
        <v>1351</v>
      </c>
      <c r="B40" s="203" t="s">
        <v>1362</v>
      </c>
    </row>
    <row r="41" spans="1:2" ht="102" x14ac:dyDescent="0.2">
      <c r="A41" s="205" t="s">
        <v>1353</v>
      </c>
      <c r="B41" s="203" t="s">
        <v>1363</v>
      </c>
    </row>
    <row r="42" spans="1:2" ht="102" x14ac:dyDescent="0.2">
      <c r="A42" s="205" t="s">
        <v>1355</v>
      </c>
      <c r="B42" s="203" t="s">
        <v>1364</v>
      </c>
    </row>
    <row r="43" spans="1:2" ht="102" x14ac:dyDescent="0.2">
      <c r="A43" s="205" t="s">
        <v>1357</v>
      </c>
      <c r="B43" s="203" t="s">
        <v>1365</v>
      </c>
    </row>
    <row r="44" spans="1:2" ht="51" x14ac:dyDescent="0.2">
      <c r="A44" s="205" t="s">
        <v>1366</v>
      </c>
      <c r="B44" s="203" t="s">
        <v>1367</v>
      </c>
    </row>
    <row r="45" spans="1:2" ht="76.5" x14ac:dyDescent="0.2">
      <c r="A45" s="205" t="s">
        <v>1368</v>
      </c>
      <c r="B45" s="203" t="s">
        <v>1369</v>
      </c>
    </row>
    <row r="46" spans="1:2" ht="63.75" x14ac:dyDescent="0.2">
      <c r="A46" s="206" t="s">
        <v>1370</v>
      </c>
      <c r="B46" s="203" t="s">
        <v>1371</v>
      </c>
    </row>
    <row r="47" spans="1:2" ht="38.25" x14ac:dyDescent="0.2">
      <c r="A47" s="207" t="s">
        <v>1372</v>
      </c>
      <c r="B47" s="203" t="s">
        <v>1373</v>
      </c>
    </row>
    <row r="48" spans="1:2" ht="38.25" x14ac:dyDescent="0.2">
      <c r="A48" s="207" t="s">
        <v>1374</v>
      </c>
      <c r="B48" s="203" t="s">
        <v>1375</v>
      </c>
    </row>
    <row r="49" spans="1:2" ht="51" x14ac:dyDescent="0.2">
      <c r="A49" s="207" t="s">
        <v>1376</v>
      </c>
      <c r="B49" s="203" t="s">
        <v>1377</v>
      </c>
    </row>
    <row r="50" spans="1:2" ht="45" x14ac:dyDescent="0.2">
      <c r="A50" s="207" t="s">
        <v>1378</v>
      </c>
      <c r="B50" s="203" t="s">
        <v>1379</v>
      </c>
    </row>
    <row r="51" spans="1:2" ht="45" x14ac:dyDescent="0.2">
      <c r="A51" s="204" t="s">
        <v>1380</v>
      </c>
      <c r="B51" s="203" t="s">
        <v>1381</v>
      </c>
    </row>
    <row r="52" spans="1:2" ht="38.25" x14ac:dyDescent="0.2">
      <c r="A52" s="204" t="s">
        <v>1382</v>
      </c>
      <c r="B52" s="203" t="s">
        <v>1383</v>
      </c>
    </row>
    <row r="53" spans="1:2" ht="38.25" x14ac:dyDescent="0.2">
      <c r="A53" s="204" t="s">
        <v>1384</v>
      </c>
      <c r="B53" s="203" t="s">
        <v>1385</v>
      </c>
    </row>
    <row r="54" spans="1:2" ht="76.5" x14ac:dyDescent="0.2">
      <c r="A54" s="204" t="s">
        <v>1386</v>
      </c>
      <c r="B54" s="203" t="s">
        <v>1387</v>
      </c>
    </row>
    <row r="55" spans="1:2" ht="76.5" x14ac:dyDescent="0.2">
      <c r="A55" s="204" t="s">
        <v>1388</v>
      </c>
      <c r="B55" s="203" t="s">
        <v>1389</v>
      </c>
    </row>
    <row r="56" spans="1:2" ht="63.75" x14ac:dyDescent="0.2">
      <c r="A56" s="204" t="s">
        <v>1390</v>
      </c>
      <c r="B56" s="203" t="s">
        <v>1391</v>
      </c>
    </row>
    <row r="57" spans="1:2" ht="114.75" x14ac:dyDescent="0.2">
      <c r="A57" s="204" t="s">
        <v>1392</v>
      </c>
      <c r="B57" s="203" t="s">
        <v>1393</v>
      </c>
    </row>
    <row r="58" spans="1:2" ht="25.5" x14ac:dyDescent="0.2">
      <c r="A58" s="204" t="s">
        <v>163</v>
      </c>
      <c r="B58" s="203" t="s">
        <v>1394</v>
      </c>
    </row>
    <row r="59" spans="1:2" ht="25.5" x14ac:dyDescent="0.2">
      <c r="A59" s="204" t="s">
        <v>164</v>
      </c>
      <c r="B59" s="203" t="s">
        <v>1395</v>
      </c>
    </row>
    <row r="60" spans="1:2" ht="38.25" x14ac:dyDescent="0.2">
      <c r="A60" s="204" t="s">
        <v>1396</v>
      </c>
      <c r="B60" s="203" t="s">
        <v>1397</v>
      </c>
    </row>
    <row r="61" spans="1:2" ht="63.75" x14ac:dyDescent="0.2">
      <c r="A61" s="204" t="s">
        <v>1398</v>
      </c>
      <c r="B61" s="203" t="s">
        <v>1399</v>
      </c>
    </row>
    <row r="62" spans="1:2" ht="165.75" x14ac:dyDescent="0.2">
      <c r="A62" s="204" t="s">
        <v>133</v>
      </c>
      <c r="B62" s="203" t="s">
        <v>1400</v>
      </c>
    </row>
  </sheetData>
  <sheetProtection sheet="1" objects="1" scenarios="1"/>
  <mergeCells count="6">
    <mergeCell ref="A5:B5"/>
    <mergeCell ref="A6:B6"/>
    <mergeCell ref="A7:B7"/>
    <mergeCell ref="A8:B8"/>
    <mergeCell ref="A22:A24"/>
    <mergeCell ref="B22:B24"/>
  </mergeCells>
  <hyperlinks>
    <hyperlink ref="A10" location="Matriz!A1" display="ID" xr:uid="{00000000-0004-0000-0700-000008000000}"/>
    <hyperlink ref="A11" location="Matriz!B1" display="Riesgo" xr:uid="{00000000-0004-0000-0700-000009000000}"/>
    <hyperlink ref="A12" location="Matriz!C1" display="Descripción" xr:uid="{00000000-0004-0000-0700-00000A000000}"/>
    <hyperlink ref="A13" location="Matriz!D1" display="Proceso" xr:uid="{00000000-0004-0000-0700-00000B000000}"/>
    <hyperlink ref="A14" location="Matriz!E1" display="Clase" xr:uid="{00000000-0004-0000-0700-00000C000000}"/>
    <hyperlink ref="A15" location="Matriz!F1" display="Activo de Información" xr:uid="{00000000-0004-0000-0700-00000D000000}"/>
    <hyperlink ref="A16" location="Matriz!G1" display="Factores externos" xr:uid="{00000000-0004-0000-0700-00000E000000}"/>
    <hyperlink ref="A17" location="Matriz!G1" display="Factores Internos" xr:uid="{00000000-0004-0000-0700-00000F000000}"/>
    <hyperlink ref="A18" location="Matriz!I1" display="Amenaza" xr:uid="{00000000-0004-0000-0700-000010000000}"/>
    <hyperlink ref="A19" location="Matriz!J1" display="Causa / Vulnerabilidad" xr:uid="{00000000-0004-0000-0700-000011000000}"/>
    <hyperlink ref="A20" location="Matriz!K1" display="Consecuencias" xr:uid="{00000000-0004-0000-0700-000012000000}"/>
    <hyperlink ref="A21" location="Matriz!L1" display="Probabilidad" xr:uid="{00000000-0004-0000-0700-000013000000}"/>
    <hyperlink ref="A50" location="Matriz!AM1" display="Solidez Promedio del Conjunto de Controles" xr:uid="{00000000-0004-0000-0700-00002E000000}"/>
    <hyperlink ref="A49" location="Matriz!AL1" display="Requiere plan de acción para fortalecer el control" xr:uid="{00000000-0004-0000-0700-00002D000000}"/>
    <hyperlink ref="A48" location="Matriz!AK1" display="Puntaje de Solidez Individual del Control" xr:uid="{00000000-0004-0000-0700-00002C000000}"/>
    <hyperlink ref="A47" location="Matriz!AJ1" display="Solidez individual del Control" xr:uid="{00000000-0004-0000-0700-00002B000000}"/>
    <hyperlink ref="A46" location="Matriz!AI1" display="Ejecución del Control" xr:uid="{00000000-0004-0000-0700-00002A000000}"/>
    <hyperlink ref="A45" location="Matriz!AH1" display="Diseño del Control" xr:uid="{00000000-0004-0000-0700-000029000000}"/>
    <hyperlink ref="A44" location="Matriz!AG1" display="Total" xr:uid="{00000000-0004-0000-0700-000028000000}"/>
    <hyperlink ref="A43" location="Matriz!AF1" display="Evidencia de la ejecución del control" xr:uid="{00000000-0004-0000-0700-000027000000}"/>
    <hyperlink ref="A42" location="Matriz!AE1" display="Qué pasa con las observaciones o desviaciones" xr:uid="{00000000-0004-0000-0700-000026000000}"/>
    <hyperlink ref="A41" location="Matriz!AD1" display="Cómo se realiza la actividad de control" xr:uid="{00000000-0004-0000-0700-000025000000}"/>
    <hyperlink ref="A40" location="Matriz!AC1" display="Propósito" xr:uid="{00000000-0004-0000-0700-000024000000}"/>
    <hyperlink ref="A39" location="Matriz!AB1" display="Periodicidad" xr:uid="{00000000-0004-0000-0700-000023000000}"/>
    <hyperlink ref="A38" location="Matriz!AA1" display="Segregación y autoridad del responsable" xr:uid="{00000000-0004-0000-0700-000022000000}"/>
    <hyperlink ref="A37" location="Matriz!Z1" display="Asignación del responsable" xr:uid="{00000000-0004-0000-0700-000021000000}"/>
    <hyperlink ref="A36" location="Matriz!Y1" display="Evidencia de la ejecución del control" xr:uid="{00000000-0004-0000-0700-000020000000}"/>
    <hyperlink ref="A35" location="Matriz!X1" display="Qué pasa con las observaciones o desviaciones" xr:uid="{00000000-0004-0000-0700-00001F000000}"/>
    <hyperlink ref="A34" location="Matriz!W1" display="Cómo se realiza la actividad de control" xr:uid="{00000000-0004-0000-0700-00001E000000}"/>
    <hyperlink ref="A33" location="Matriz!V1" display="Propósito" xr:uid="{00000000-0004-0000-0700-00001D000000}"/>
    <hyperlink ref="A32" location="Matriz!U1" display="Periodicidad" xr:uid="{00000000-0004-0000-0700-00001C000000}"/>
    <hyperlink ref="A31" location="Matriz!T1" display="Segregación y autoridad del responsable" xr:uid="{00000000-0004-0000-0700-00001B000000}"/>
    <hyperlink ref="A30" location="Matriz!S1" display="Asignación del responsable" xr:uid="{00000000-0004-0000-0700-00001A000000}"/>
    <hyperlink ref="A29" location="Matriz!R1" display="Tipo Control" xr:uid="{00000000-0004-0000-0700-000019000000}"/>
    <hyperlink ref="A28" location="Matriz!Q1" display="N° Control" xr:uid="{00000000-0004-0000-0700-000018000000}"/>
    <hyperlink ref="A27" location="Matriz!P1" display="Control" xr:uid="{00000000-0004-0000-0700-000017000000}"/>
    <hyperlink ref="A26" location="Matriz!O1" display="Tratamiento del Riesgo" xr:uid="{00000000-0004-0000-0700-000016000000}"/>
    <hyperlink ref="A25" location="Matriz!N1" display="Riesgo Inherente" xr:uid="{00000000-0004-0000-0700-000015000000}"/>
    <hyperlink ref="A22:A24" location="Matriz!M1" display="Impacto" xr:uid="{00000000-0004-0000-0700-000014000000}"/>
  </hyperlinks>
  <pageMargins left="0.23622047244094491" right="0.23622047244094491" top="0.43307086614173229" bottom="0.43307086614173229" header="0.31496062992125984" footer="0.31496062992125984"/>
  <pageSetup fitToHeight="0" orientation="portrait" r:id="rId1"/>
  <headerFooter>
    <oddHeader>&amp;L&amp;G&amp;CMATRIZ DE RIESGOS</oddHeader>
    <oddFooter>&amp;RCódigo:E-02-F-014
Versión: 5 
Fecha: Ver Isolución</oddFooter>
  </headerFooter>
  <legacy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W203"/>
  <sheetViews>
    <sheetView showGridLines="0" zoomScaleNormal="100" workbookViewId="0">
      <pane ySplit="1" topLeftCell="A22" activePane="bottomLeft" state="frozen"/>
      <selection pane="bottomLeft" activeCell="A3" sqref="A3"/>
    </sheetView>
  </sheetViews>
  <sheetFormatPr baseColWidth="10" defaultColWidth="10" defaultRowHeight="11.25" x14ac:dyDescent="0.2"/>
  <cols>
    <col min="1" max="1" width="7.5" style="78" customWidth="1"/>
    <col min="2" max="2" width="20.375" style="78" customWidth="1"/>
    <col min="3" max="3" width="8.375" style="78" bestFit="1" customWidth="1"/>
    <col min="4" max="4" width="9.5" style="78" bestFit="1" customWidth="1"/>
    <col min="5" max="6" width="9.5" style="78" customWidth="1"/>
    <col min="7" max="7" width="8.375" style="78" customWidth="1"/>
    <col min="8" max="8" width="8.625" style="78" bestFit="1" customWidth="1"/>
    <col min="9" max="9" width="8" style="78" customWidth="1"/>
    <col min="10" max="10" width="10" style="78"/>
    <col min="11" max="11" width="8" style="78" customWidth="1"/>
    <col min="12" max="12" width="8.625" style="78" customWidth="1"/>
    <col min="13" max="13" width="9.75" style="78" bestFit="1" customWidth="1"/>
    <col min="14" max="14" width="8.875" style="78" customWidth="1"/>
    <col min="15" max="16" width="6.75" style="78" customWidth="1"/>
    <col min="17" max="17" width="8.25" style="78" customWidth="1"/>
    <col min="18" max="18" width="7.5" style="78" bestFit="1" customWidth="1"/>
    <col min="19" max="20" width="6.625" style="78" customWidth="1"/>
    <col min="21" max="21" width="8" style="78" customWidth="1"/>
    <col min="22" max="22" width="4.25" style="78" bestFit="1" customWidth="1"/>
    <col min="23" max="23" width="16.25" style="78" customWidth="1"/>
    <col min="24" max="16384" width="10" style="78"/>
  </cols>
  <sheetData>
    <row r="1" spans="1:23" ht="101.25" x14ac:dyDescent="0.2">
      <c r="A1" s="527" t="s">
        <v>1221</v>
      </c>
      <c r="B1" s="527" t="s">
        <v>1401</v>
      </c>
      <c r="C1" s="528" t="s">
        <v>1402</v>
      </c>
      <c r="D1" s="528" t="s">
        <v>1403</v>
      </c>
      <c r="E1" s="528" t="s">
        <v>1404</v>
      </c>
      <c r="F1" s="528" t="s">
        <v>1405</v>
      </c>
      <c r="G1" s="528" t="s">
        <v>1406</v>
      </c>
      <c r="H1" s="528" t="s">
        <v>1407</v>
      </c>
      <c r="I1" s="528" t="s">
        <v>1408</v>
      </c>
      <c r="J1" s="528" t="s">
        <v>1409</v>
      </c>
      <c r="K1" s="528" t="s">
        <v>1410</v>
      </c>
      <c r="L1" s="528" t="s">
        <v>1411</v>
      </c>
      <c r="M1" s="528" t="s">
        <v>1412</v>
      </c>
      <c r="N1" s="528" t="s">
        <v>1413</v>
      </c>
      <c r="O1" s="528" t="s">
        <v>1414</v>
      </c>
      <c r="P1" s="528" t="s">
        <v>1415</v>
      </c>
      <c r="Q1" s="528" t="s">
        <v>1416</v>
      </c>
      <c r="R1" s="529" t="s">
        <v>1417</v>
      </c>
      <c r="S1" s="528" t="s">
        <v>1418</v>
      </c>
      <c r="T1" s="528" t="s">
        <v>1419</v>
      </c>
      <c r="U1" s="528" t="s">
        <v>1420</v>
      </c>
      <c r="V1" s="527" t="s">
        <v>1421</v>
      </c>
      <c r="W1" s="527" t="s">
        <v>1422</v>
      </c>
    </row>
    <row r="2" spans="1:23" ht="56.25" x14ac:dyDescent="0.2">
      <c r="A2" s="530" t="s">
        <v>1423</v>
      </c>
      <c r="B2" s="531" t="s">
        <v>1424</v>
      </c>
      <c r="C2" s="530" t="s">
        <v>1425</v>
      </c>
      <c r="D2" s="530" t="s">
        <v>1426</v>
      </c>
      <c r="E2" s="530" t="s">
        <v>1426</v>
      </c>
      <c r="F2" s="530" t="s">
        <v>1426</v>
      </c>
      <c r="G2" s="530" t="s">
        <v>1425</v>
      </c>
      <c r="H2" s="530" t="s">
        <v>1425</v>
      </c>
      <c r="I2" s="530" t="s">
        <v>1426</v>
      </c>
      <c r="J2" s="530" t="s">
        <v>1426</v>
      </c>
      <c r="K2" s="530" t="s">
        <v>1425</v>
      </c>
      <c r="L2" s="530" t="s">
        <v>1425</v>
      </c>
      <c r="M2" s="530" t="s">
        <v>1425</v>
      </c>
      <c r="N2" s="530" t="s">
        <v>1425</v>
      </c>
      <c r="O2" s="530" t="s">
        <v>1425</v>
      </c>
      <c r="P2" s="530" t="s">
        <v>1425</v>
      </c>
      <c r="Q2" s="530" t="s">
        <v>1426</v>
      </c>
      <c r="R2" s="530" t="s">
        <v>1426</v>
      </c>
      <c r="S2" s="530" t="s">
        <v>1426</v>
      </c>
      <c r="T2" s="530" t="s">
        <v>1426</v>
      </c>
      <c r="U2" s="530" t="s">
        <v>1426</v>
      </c>
      <c r="V2" s="532">
        <f>COUNTIF(C2:U2,"SI")</f>
        <v>9</v>
      </c>
      <c r="W2" s="77" t="str">
        <f>IF(COUNTBLANK(C2:U2)&gt;0,"Complete todas las preguntas",IF(R2="SI",'Base corrupción'!$C$2,IF(V2&lt;6,'Base corrupción'!$C$4,IF(AND(V2&gt;5,V2&lt;12),'Base corrupción'!$C$3,IF(AND(V2&gt;11,V2&lt;20),'Base corrupción'!$C$2,"Revisar fórmula")))))</f>
        <v>Mayor</v>
      </c>
    </row>
    <row r="3" spans="1:23" ht="90" x14ac:dyDescent="0.2">
      <c r="A3" s="530" t="s">
        <v>1427</v>
      </c>
      <c r="B3" s="531" t="s">
        <v>1428</v>
      </c>
      <c r="C3" s="533" t="s">
        <v>1425</v>
      </c>
      <c r="D3" s="533" t="s">
        <v>1425</v>
      </c>
      <c r="E3" s="533" t="s">
        <v>1425</v>
      </c>
      <c r="F3" s="533" t="s">
        <v>1425</v>
      </c>
      <c r="G3" s="533" t="s">
        <v>1425</v>
      </c>
      <c r="H3" s="533" t="s">
        <v>1425</v>
      </c>
      <c r="I3" s="533" t="s">
        <v>1425</v>
      </c>
      <c r="J3" s="533" t="s">
        <v>1425</v>
      </c>
      <c r="K3" s="533" t="s">
        <v>1426</v>
      </c>
      <c r="L3" s="533" t="s">
        <v>1425</v>
      </c>
      <c r="M3" s="533" t="s">
        <v>1425</v>
      </c>
      <c r="N3" s="533" t="s">
        <v>1425</v>
      </c>
      <c r="O3" s="533" t="s">
        <v>1425</v>
      </c>
      <c r="P3" s="533" t="s">
        <v>1425</v>
      </c>
      <c r="Q3" s="533" t="s">
        <v>1425</v>
      </c>
      <c r="R3" s="533" t="s">
        <v>1426</v>
      </c>
      <c r="S3" s="533" t="s">
        <v>1425</v>
      </c>
      <c r="T3" s="533" t="s">
        <v>1425</v>
      </c>
      <c r="U3" s="533" t="s">
        <v>1426</v>
      </c>
      <c r="V3" s="532">
        <f t="shared" ref="V3:V25" si="0">COUNTIF(C3:U3,"SI")</f>
        <v>16</v>
      </c>
      <c r="W3" s="77" t="str">
        <f>IF(COUNTBLANK(C3:U3)&gt;0,"Complete todas las preguntas",IF(R3="SI",'Base corrupción'!$C$2,IF(V3&lt;6,'Base corrupción'!$C$4,IF(AND(V3&gt;5,V3&lt;12),'Base corrupción'!$C$3,IF(AND(V3&gt;11,V3&lt;20),'Base corrupción'!$C$2,"Revisar fórmula")))))</f>
        <v>Catastrófico</v>
      </c>
    </row>
    <row r="4" spans="1:23" ht="67.5" x14ac:dyDescent="0.2">
      <c r="A4" s="530" t="s">
        <v>1429</v>
      </c>
      <c r="B4" s="531" t="s">
        <v>1430</v>
      </c>
      <c r="C4" s="533" t="s">
        <v>1425</v>
      </c>
      <c r="D4" s="533" t="s">
        <v>1425</v>
      </c>
      <c r="E4" s="533" t="s">
        <v>1425</v>
      </c>
      <c r="F4" s="533" t="s">
        <v>1425</v>
      </c>
      <c r="G4" s="533" t="s">
        <v>1425</v>
      </c>
      <c r="H4" s="533" t="s">
        <v>1425</v>
      </c>
      <c r="I4" s="533" t="s">
        <v>1425</v>
      </c>
      <c r="J4" s="533" t="s">
        <v>1425</v>
      </c>
      <c r="K4" s="533" t="s">
        <v>1426</v>
      </c>
      <c r="L4" s="533" t="s">
        <v>1425</v>
      </c>
      <c r="M4" s="533" t="s">
        <v>1425</v>
      </c>
      <c r="N4" s="533" t="s">
        <v>1425</v>
      </c>
      <c r="O4" s="533" t="s">
        <v>1425</v>
      </c>
      <c r="P4" s="533" t="s">
        <v>1425</v>
      </c>
      <c r="Q4" s="533" t="s">
        <v>1425</v>
      </c>
      <c r="R4" s="533" t="s">
        <v>1426</v>
      </c>
      <c r="S4" s="533" t="s">
        <v>1426</v>
      </c>
      <c r="T4" s="533" t="s">
        <v>1425</v>
      </c>
      <c r="U4" s="533" t="s">
        <v>1426</v>
      </c>
      <c r="V4" s="532">
        <f t="shared" si="0"/>
        <v>15</v>
      </c>
      <c r="W4" s="77" t="str">
        <f>IF(COUNTBLANK(C4:U4)&gt;0,"Complete todas las preguntas",IF(R4="SI",'Base corrupción'!$C$2,IF(V4&lt;6,'Base corrupción'!$C$4,IF(AND(V4&gt;5,V4&lt;12),'Base corrupción'!$C$3,IF(AND(V4&gt;11,V4&lt;20),'Base corrupción'!$C$2,"Revisar fórmula")))))</f>
        <v>Catastrófico</v>
      </c>
    </row>
    <row r="5" spans="1:23" ht="78.75" x14ac:dyDescent="0.2">
      <c r="A5" s="530" t="s">
        <v>1431</v>
      </c>
      <c r="B5" s="531" t="s">
        <v>1432</v>
      </c>
      <c r="C5" s="530" t="s">
        <v>1425</v>
      </c>
      <c r="D5" s="530" t="s">
        <v>1425</v>
      </c>
      <c r="E5" s="530" t="s">
        <v>1425</v>
      </c>
      <c r="F5" s="530" t="s">
        <v>1425</v>
      </c>
      <c r="G5" s="530" t="s">
        <v>1425</v>
      </c>
      <c r="H5" s="530" t="s">
        <v>1425</v>
      </c>
      <c r="I5" s="530" t="s">
        <v>1425</v>
      </c>
      <c r="J5" s="530" t="s">
        <v>1426</v>
      </c>
      <c r="K5" s="530" t="s">
        <v>1426</v>
      </c>
      <c r="L5" s="530" t="s">
        <v>1425</v>
      </c>
      <c r="M5" s="530" t="s">
        <v>1425</v>
      </c>
      <c r="N5" s="530" t="s">
        <v>1425</v>
      </c>
      <c r="O5" s="530" t="s">
        <v>1425</v>
      </c>
      <c r="P5" s="530" t="s">
        <v>1426</v>
      </c>
      <c r="Q5" s="530" t="s">
        <v>1425</v>
      </c>
      <c r="R5" s="530" t="s">
        <v>1426</v>
      </c>
      <c r="S5" s="530" t="s">
        <v>1425</v>
      </c>
      <c r="T5" s="530" t="s">
        <v>1425</v>
      </c>
      <c r="U5" s="530" t="s">
        <v>1426</v>
      </c>
      <c r="V5" s="532">
        <f t="shared" si="0"/>
        <v>14</v>
      </c>
      <c r="W5" s="77" t="str">
        <f>IF(COUNTBLANK(C5:U5)&gt;0,"Complete todas las preguntas",IF(R5="SI",'Base corrupción'!$C$2,IF(V5&lt;6,'Base corrupción'!$C$4,IF(AND(V5&gt;5,V5&lt;12),'Base corrupción'!$C$3,IF(AND(V5&gt;11,V5&lt;20),'Base corrupción'!$C$2,"Revisar fórmula")))))</f>
        <v>Catastrófico</v>
      </c>
    </row>
    <row r="6" spans="1:23" ht="101.25" x14ac:dyDescent="0.2">
      <c r="A6" s="530" t="s">
        <v>1433</v>
      </c>
      <c r="B6" s="531" t="s">
        <v>1434</v>
      </c>
      <c r="C6" s="533" t="s">
        <v>1425</v>
      </c>
      <c r="D6" s="533" t="s">
        <v>1425</v>
      </c>
      <c r="E6" s="533" t="s">
        <v>1426</v>
      </c>
      <c r="F6" s="533" t="s">
        <v>1426</v>
      </c>
      <c r="G6" s="533" t="s">
        <v>1425</v>
      </c>
      <c r="H6" s="533" t="s">
        <v>1425</v>
      </c>
      <c r="I6" s="533" t="s">
        <v>1425</v>
      </c>
      <c r="J6" s="533" t="s">
        <v>1426</v>
      </c>
      <c r="K6" s="533" t="s">
        <v>1426</v>
      </c>
      <c r="L6" s="533" t="s">
        <v>1425</v>
      </c>
      <c r="M6" s="533" t="s">
        <v>1425</v>
      </c>
      <c r="N6" s="533" t="s">
        <v>1425</v>
      </c>
      <c r="O6" s="533" t="s">
        <v>1426</v>
      </c>
      <c r="P6" s="533" t="s">
        <v>1426</v>
      </c>
      <c r="Q6" s="533" t="s">
        <v>1425</v>
      </c>
      <c r="R6" s="533" t="s">
        <v>1426</v>
      </c>
      <c r="S6" s="533" t="s">
        <v>1425</v>
      </c>
      <c r="T6" s="533" t="s">
        <v>1425</v>
      </c>
      <c r="U6" s="533" t="s">
        <v>1426</v>
      </c>
      <c r="V6" s="532">
        <f t="shared" si="0"/>
        <v>11</v>
      </c>
      <c r="W6" s="77" t="str">
        <f>IF(COUNTBLANK(C6:U6)&gt;0,"Complete todas las preguntas",IF(R6="SI",'Base corrupción'!$C$2,IF(V6&lt;6,'Base corrupción'!$C$4,IF(AND(V6&gt;5,V6&lt;12),'Base corrupción'!$C$3,IF(AND(V6&gt;11,V6&lt;20),'Base corrupción'!$C$2,"Revisar fórmula")))))</f>
        <v>Mayor</v>
      </c>
    </row>
    <row r="7" spans="1:23" ht="123.75" x14ac:dyDescent="0.2">
      <c r="A7" s="530" t="s">
        <v>1435</v>
      </c>
      <c r="B7" s="531" t="s">
        <v>1436</v>
      </c>
      <c r="C7" s="533" t="s">
        <v>1425</v>
      </c>
      <c r="D7" s="533" t="s">
        <v>1425</v>
      </c>
      <c r="E7" s="533" t="s">
        <v>1426</v>
      </c>
      <c r="F7" s="533" t="s">
        <v>1426</v>
      </c>
      <c r="G7" s="533" t="s">
        <v>1425</v>
      </c>
      <c r="H7" s="533" t="s">
        <v>1425</v>
      </c>
      <c r="I7" s="533" t="s">
        <v>1425</v>
      </c>
      <c r="J7" s="533" t="s">
        <v>1426</v>
      </c>
      <c r="K7" s="533" t="s">
        <v>1426</v>
      </c>
      <c r="L7" s="533" t="s">
        <v>1425</v>
      </c>
      <c r="M7" s="533" t="s">
        <v>1426</v>
      </c>
      <c r="N7" s="533" t="s">
        <v>1425</v>
      </c>
      <c r="O7" s="533" t="s">
        <v>1425</v>
      </c>
      <c r="P7" s="533" t="s">
        <v>1425</v>
      </c>
      <c r="Q7" s="533" t="s">
        <v>1425</v>
      </c>
      <c r="R7" s="533" t="s">
        <v>1426</v>
      </c>
      <c r="S7" s="533" t="s">
        <v>1425</v>
      </c>
      <c r="T7" s="533" t="s">
        <v>1425</v>
      </c>
      <c r="U7" s="533" t="s">
        <v>1426</v>
      </c>
      <c r="V7" s="532">
        <f t="shared" si="0"/>
        <v>12</v>
      </c>
      <c r="W7" s="77" t="str">
        <f>IF(COUNTBLANK(C7:U7)&gt;0,"Complete todas las preguntas",IF(R7="SI",'Base corrupción'!$C$2,IF(V7&lt;6,'Base corrupción'!$C$4,IF(AND(V7&gt;5,V7&lt;12),'Base corrupción'!$C$3,IF(AND(V7&gt;11,V7&lt;20),'Base corrupción'!$C$2,"Revisar fórmula")))))</f>
        <v>Catastrófico</v>
      </c>
    </row>
    <row r="8" spans="1:23" ht="56.25" x14ac:dyDescent="0.2">
      <c r="A8" s="530" t="s">
        <v>1437</v>
      </c>
      <c r="B8" s="531" t="s">
        <v>1438</v>
      </c>
      <c r="C8" s="530" t="s">
        <v>1425</v>
      </c>
      <c r="D8" s="530" t="s">
        <v>1425</v>
      </c>
      <c r="E8" s="530" t="s">
        <v>1425</v>
      </c>
      <c r="F8" s="530" t="s">
        <v>1425</v>
      </c>
      <c r="G8" s="530" t="s">
        <v>1425</v>
      </c>
      <c r="H8" s="530" t="s">
        <v>1425</v>
      </c>
      <c r="I8" s="530" t="s">
        <v>1425</v>
      </c>
      <c r="J8" s="530" t="s">
        <v>1425</v>
      </c>
      <c r="K8" s="530" t="s">
        <v>1425</v>
      </c>
      <c r="L8" s="530" t="s">
        <v>1425</v>
      </c>
      <c r="M8" s="530" t="s">
        <v>1425</v>
      </c>
      <c r="N8" s="530" t="s">
        <v>1425</v>
      </c>
      <c r="O8" s="530" t="s">
        <v>1425</v>
      </c>
      <c r="P8" s="530" t="s">
        <v>1425</v>
      </c>
      <c r="Q8" s="530" t="s">
        <v>1425</v>
      </c>
      <c r="R8" s="530" t="s">
        <v>1426</v>
      </c>
      <c r="S8" s="530" t="s">
        <v>1425</v>
      </c>
      <c r="T8" s="530" t="s">
        <v>1425</v>
      </c>
      <c r="U8" s="530" t="s">
        <v>1426</v>
      </c>
      <c r="V8" s="532">
        <f t="shared" si="0"/>
        <v>17</v>
      </c>
      <c r="W8" s="77" t="str">
        <f>IF(COUNTBLANK(C8:U8)&gt;0,"Complete todas las preguntas",IF(R8="SI",'Base corrupción'!$C$2,IF(V8&lt;6,'Base corrupción'!$C$4,IF(AND(V8&gt;5,V8&lt;12),'Base corrupción'!$C$3,IF(AND(V8&gt;11,V8&lt;20),'Base corrupción'!$C$2,"Revisar fórmula")))))</f>
        <v>Catastrófico</v>
      </c>
    </row>
    <row r="9" spans="1:23" ht="112.5" x14ac:dyDescent="0.2">
      <c r="A9" s="530" t="s">
        <v>1439</v>
      </c>
      <c r="B9" s="531" t="s">
        <v>1440</v>
      </c>
      <c r="C9" s="530" t="s">
        <v>1425</v>
      </c>
      <c r="D9" s="530" t="s">
        <v>1425</v>
      </c>
      <c r="E9" s="530" t="s">
        <v>1425</v>
      </c>
      <c r="F9" s="530" t="s">
        <v>1426</v>
      </c>
      <c r="G9" s="530" t="s">
        <v>1425</v>
      </c>
      <c r="H9" s="530" t="s">
        <v>1425</v>
      </c>
      <c r="I9" s="530" t="s">
        <v>1426</v>
      </c>
      <c r="J9" s="530" t="s">
        <v>1426</v>
      </c>
      <c r="K9" s="530" t="s">
        <v>1425</v>
      </c>
      <c r="L9" s="530" t="s">
        <v>1425</v>
      </c>
      <c r="M9" s="530" t="s">
        <v>1425</v>
      </c>
      <c r="N9" s="530" t="s">
        <v>1425</v>
      </c>
      <c r="O9" s="530" t="s">
        <v>1426</v>
      </c>
      <c r="P9" s="530" t="s">
        <v>1426</v>
      </c>
      <c r="Q9" s="530" t="s">
        <v>1425</v>
      </c>
      <c r="R9" s="530" t="s">
        <v>1426</v>
      </c>
      <c r="S9" s="530" t="s">
        <v>1426</v>
      </c>
      <c r="T9" s="530" t="s">
        <v>1425</v>
      </c>
      <c r="U9" s="530" t="s">
        <v>1426</v>
      </c>
      <c r="V9" s="532">
        <f t="shared" si="0"/>
        <v>11</v>
      </c>
      <c r="W9" s="77" t="str">
        <f>IF(COUNTBLANK(C9:U9)&gt;0,"Complete todas las preguntas",IF(R9="SI",'Base corrupción'!$C$2,IF(V9&lt;6,'Base corrupción'!$C$4,IF(AND(V9&gt;5,V9&lt;12),'Base corrupción'!$C$3,IF(AND(V9&gt;11,V9&lt;20),'Base corrupción'!$C$2,"Revisar fórmula")))))</f>
        <v>Mayor</v>
      </c>
    </row>
    <row r="10" spans="1:23" ht="56.25" x14ac:dyDescent="0.2">
      <c r="A10" s="530" t="s">
        <v>1437</v>
      </c>
      <c r="B10" s="531" t="s">
        <v>1438</v>
      </c>
      <c r="C10" s="533" t="s">
        <v>1425</v>
      </c>
      <c r="D10" s="533" t="s">
        <v>1425</v>
      </c>
      <c r="E10" s="533" t="s">
        <v>1425</v>
      </c>
      <c r="F10" s="533" t="s">
        <v>1425</v>
      </c>
      <c r="G10" s="533" t="s">
        <v>1425</v>
      </c>
      <c r="H10" s="533" t="s">
        <v>1425</v>
      </c>
      <c r="I10" s="533" t="s">
        <v>1425</v>
      </c>
      <c r="J10" s="533" t="s">
        <v>1425</v>
      </c>
      <c r="K10" s="533" t="s">
        <v>1425</v>
      </c>
      <c r="L10" s="533" t="s">
        <v>1425</v>
      </c>
      <c r="M10" s="533" t="s">
        <v>1425</v>
      </c>
      <c r="N10" s="533" t="s">
        <v>1425</v>
      </c>
      <c r="O10" s="533" t="s">
        <v>1425</v>
      </c>
      <c r="P10" s="533" t="s">
        <v>1425</v>
      </c>
      <c r="Q10" s="533" t="s">
        <v>1425</v>
      </c>
      <c r="R10" s="533" t="s">
        <v>1426</v>
      </c>
      <c r="S10" s="533" t="s">
        <v>1425</v>
      </c>
      <c r="T10" s="533" t="s">
        <v>1425</v>
      </c>
      <c r="U10" s="533" t="s">
        <v>1426</v>
      </c>
      <c r="V10" s="532">
        <f>COUNTIF(C10:U10,"SI")</f>
        <v>17</v>
      </c>
      <c r="W10" s="77" t="str">
        <f>IF(COUNTBLANK(C10:U10)&gt;0,"Complete todas las preguntas",IF(R10="SI",'Base corrupción'!$C$2,IF(V10&lt;6,'Base corrupción'!$C$4,IF(AND(V10&gt;5,V10&lt;12),'Base corrupción'!$C$3,IF(AND(V10&gt;11,V10&lt;20),'Base corrupción'!$C$2,"Revisar fórmula")))))</f>
        <v>Catastrófico</v>
      </c>
    </row>
    <row r="11" spans="1:23" ht="90" x14ac:dyDescent="0.2">
      <c r="A11" s="530" t="s">
        <v>1441</v>
      </c>
      <c r="B11" s="531" t="s">
        <v>1442</v>
      </c>
      <c r="C11" s="530" t="s">
        <v>1425</v>
      </c>
      <c r="D11" s="530" t="s">
        <v>1425</v>
      </c>
      <c r="E11" s="530" t="s">
        <v>1425</v>
      </c>
      <c r="F11" s="530" t="s">
        <v>1426</v>
      </c>
      <c r="G11" s="530" t="s">
        <v>1425</v>
      </c>
      <c r="H11" s="530" t="s">
        <v>1425</v>
      </c>
      <c r="I11" s="530" t="s">
        <v>1426</v>
      </c>
      <c r="J11" s="530" t="s">
        <v>1426</v>
      </c>
      <c r="K11" s="530" t="s">
        <v>1425</v>
      </c>
      <c r="L11" s="530" t="s">
        <v>1425</v>
      </c>
      <c r="M11" s="530" t="s">
        <v>1425</v>
      </c>
      <c r="N11" s="530" t="s">
        <v>1425</v>
      </c>
      <c r="O11" s="530" t="s">
        <v>1426</v>
      </c>
      <c r="P11" s="530" t="s">
        <v>1426</v>
      </c>
      <c r="Q11" s="530" t="s">
        <v>1425</v>
      </c>
      <c r="R11" s="530" t="s">
        <v>1426</v>
      </c>
      <c r="S11" s="530" t="s">
        <v>1426</v>
      </c>
      <c r="T11" s="530" t="s">
        <v>1425</v>
      </c>
      <c r="U11" s="530" t="s">
        <v>1426</v>
      </c>
      <c r="V11" s="532">
        <f t="shared" si="0"/>
        <v>11</v>
      </c>
      <c r="W11" s="77" t="str">
        <f>IF(COUNTBLANK(C11:U11)&gt;0,"Complete todas las preguntas",IF(R11="SI",'Base corrupción'!$C$2,IF(V11&lt;6,'Base corrupción'!$C$4,IF(AND(V11&gt;5,V11&lt;12),'Base corrupción'!$C$3,IF(AND(V11&gt;11,V11&lt;20),'Base corrupción'!$C$2,"Revisar fórmula")))))</f>
        <v>Mayor</v>
      </c>
    </row>
    <row r="12" spans="1:23" ht="101.25" x14ac:dyDescent="0.2">
      <c r="A12" s="530" t="s">
        <v>1443</v>
      </c>
      <c r="B12" s="531" t="s">
        <v>1444</v>
      </c>
      <c r="C12" s="530" t="s">
        <v>1425</v>
      </c>
      <c r="D12" s="530" t="s">
        <v>1425</v>
      </c>
      <c r="E12" s="530" t="s">
        <v>1425</v>
      </c>
      <c r="F12" s="530" t="s">
        <v>1426</v>
      </c>
      <c r="G12" s="530" t="s">
        <v>1425</v>
      </c>
      <c r="H12" s="530" t="s">
        <v>1425</v>
      </c>
      <c r="I12" s="530" t="s">
        <v>1426</v>
      </c>
      <c r="J12" s="530" t="s">
        <v>1426</v>
      </c>
      <c r="K12" s="530" t="s">
        <v>1425</v>
      </c>
      <c r="L12" s="530" t="s">
        <v>1425</v>
      </c>
      <c r="M12" s="530" t="s">
        <v>1425</v>
      </c>
      <c r="N12" s="530" t="s">
        <v>1425</v>
      </c>
      <c r="O12" s="530" t="s">
        <v>1426</v>
      </c>
      <c r="P12" s="530" t="s">
        <v>1426</v>
      </c>
      <c r="Q12" s="530" t="s">
        <v>1425</v>
      </c>
      <c r="R12" s="530" t="s">
        <v>1426</v>
      </c>
      <c r="S12" s="530" t="s">
        <v>1426</v>
      </c>
      <c r="T12" s="530" t="s">
        <v>1425</v>
      </c>
      <c r="U12" s="530" t="s">
        <v>1426</v>
      </c>
      <c r="V12" s="532">
        <f t="shared" si="0"/>
        <v>11</v>
      </c>
      <c r="W12" s="77" t="str">
        <f>IF(COUNTBLANK(C12:U12)&gt;0,"Complete todas las preguntas",IF(R12="SI",'Base corrupción'!$C$2,IF(V12&lt;6,'Base corrupción'!$C$4,IF(AND(V12&gt;5,V12&lt;12),'Base corrupción'!$C$3,IF(AND(V12&gt;11,V12&lt;20),'Base corrupción'!$C$2,"Revisar fórmula")))))</f>
        <v>Mayor</v>
      </c>
    </row>
    <row r="13" spans="1:23" ht="101.25" x14ac:dyDescent="0.2">
      <c r="A13" s="530" t="s">
        <v>1445</v>
      </c>
      <c r="B13" s="531" t="s">
        <v>1446</v>
      </c>
      <c r="C13" s="530" t="s">
        <v>1425</v>
      </c>
      <c r="D13" s="530" t="s">
        <v>1425</v>
      </c>
      <c r="E13" s="530" t="s">
        <v>1425</v>
      </c>
      <c r="F13" s="530" t="s">
        <v>1425</v>
      </c>
      <c r="G13" s="530" t="s">
        <v>1425</v>
      </c>
      <c r="H13" s="530" t="s">
        <v>1425</v>
      </c>
      <c r="I13" s="530" t="s">
        <v>1425</v>
      </c>
      <c r="J13" s="530" t="s">
        <v>1425</v>
      </c>
      <c r="K13" s="530" t="s">
        <v>1426</v>
      </c>
      <c r="L13" s="530" t="s">
        <v>1425</v>
      </c>
      <c r="M13" s="530" t="s">
        <v>1425</v>
      </c>
      <c r="N13" s="530" t="s">
        <v>1425</v>
      </c>
      <c r="O13" s="530" t="s">
        <v>1425</v>
      </c>
      <c r="P13" s="530" t="s">
        <v>1425</v>
      </c>
      <c r="Q13" s="530" t="s">
        <v>1425</v>
      </c>
      <c r="R13" s="530" t="s">
        <v>1425</v>
      </c>
      <c r="S13" s="530" t="s">
        <v>1425</v>
      </c>
      <c r="T13" s="530" t="s">
        <v>1425</v>
      </c>
      <c r="U13" s="530" t="s">
        <v>1425</v>
      </c>
      <c r="V13" s="532">
        <f t="shared" si="0"/>
        <v>18</v>
      </c>
      <c r="W13" s="77" t="str">
        <f>IF(COUNTBLANK(C13:U13)&gt;0,"Complete todas las preguntas",IF(R13="SI",'Base corrupción'!$C$2,IF(V13&lt;6,'Base corrupción'!$C$4,IF(AND(V13&gt;5,V13&lt;12),'Base corrupción'!$C$3,IF(AND(V13&gt;11,V13&lt;20),'Base corrupción'!$C$2,"Revisar fórmula")))))</f>
        <v>Catastrófico</v>
      </c>
    </row>
    <row r="14" spans="1:23" ht="112.5" x14ac:dyDescent="0.2">
      <c r="A14" s="530" t="s">
        <v>1447</v>
      </c>
      <c r="B14" s="531" t="s">
        <v>1448</v>
      </c>
      <c r="C14" s="530" t="s">
        <v>1425</v>
      </c>
      <c r="D14" s="530" t="s">
        <v>1425</v>
      </c>
      <c r="E14" s="530" t="s">
        <v>1425</v>
      </c>
      <c r="F14" s="530" t="s">
        <v>1425</v>
      </c>
      <c r="G14" s="530" t="s">
        <v>1425</v>
      </c>
      <c r="H14" s="530" t="s">
        <v>1426</v>
      </c>
      <c r="I14" s="530" t="s">
        <v>1425</v>
      </c>
      <c r="J14" s="530" t="s">
        <v>1425</v>
      </c>
      <c r="K14" s="530" t="s">
        <v>1426</v>
      </c>
      <c r="L14" s="530" t="s">
        <v>1425</v>
      </c>
      <c r="M14" s="530" t="s">
        <v>1425</v>
      </c>
      <c r="N14" s="530" t="s">
        <v>1425</v>
      </c>
      <c r="O14" s="530" t="s">
        <v>1425</v>
      </c>
      <c r="P14" s="530" t="s">
        <v>1425</v>
      </c>
      <c r="Q14" s="530" t="s">
        <v>1425</v>
      </c>
      <c r="R14" s="530" t="s">
        <v>1425</v>
      </c>
      <c r="S14" s="530" t="s">
        <v>1425</v>
      </c>
      <c r="T14" s="530" t="s">
        <v>1425</v>
      </c>
      <c r="U14" s="530" t="s">
        <v>1425</v>
      </c>
      <c r="V14" s="532">
        <f t="shared" si="0"/>
        <v>17</v>
      </c>
      <c r="W14" s="77" t="str">
        <f>IF(COUNTBLANK(C14:U14)&gt;0,"Complete todas las preguntas",IF(R14="SI",'Base corrupción'!$C$2,IF(V14&lt;6,'Base corrupción'!$C$4,IF(AND(V14&gt;5,V14&lt;12),'Base corrupción'!$C$3,IF(AND(V14&gt;11,V14&lt;20),'Base corrupción'!$C$2,"Revisar fórmula")))))</f>
        <v>Catastrófico</v>
      </c>
    </row>
    <row r="15" spans="1:23" ht="67.5" x14ac:dyDescent="0.2">
      <c r="A15" s="530" t="s">
        <v>1449</v>
      </c>
      <c r="B15" s="531" t="s">
        <v>1450</v>
      </c>
      <c r="C15" s="530" t="s">
        <v>1425</v>
      </c>
      <c r="D15" s="530" t="s">
        <v>1425</v>
      </c>
      <c r="E15" s="530" t="s">
        <v>1425</v>
      </c>
      <c r="F15" s="530" t="s">
        <v>1425</v>
      </c>
      <c r="G15" s="530" t="s">
        <v>1425</v>
      </c>
      <c r="H15" s="530" t="s">
        <v>1425</v>
      </c>
      <c r="I15" s="530" t="s">
        <v>1425</v>
      </c>
      <c r="J15" s="530" t="s">
        <v>1425</v>
      </c>
      <c r="K15" s="530" t="s">
        <v>1425</v>
      </c>
      <c r="L15" s="530" t="s">
        <v>1425</v>
      </c>
      <c r="M15" s="530" t="s">
        <v>1425</v>
      </c>
      <c r="N15" s="530" t="s">
        <v>1425</v>
      </c>
      <c r="O15" s="530" t="s">
        <v>1425</v>
      </c>
      <c r="P15" s="530" t="s">
        <v>1426</v>
      </c>
      <c r="Q15" s="530" t="s">
        <v>1425</v>
      </c>
      <c r="R15" s="530" t="s">
        <v>1426</v>
      </c>
      <c r="S15" s="530" t="s">
        <v>1425</v>
      </c>
      <c r="T15" s="530" t="s">
        <v>1425</v>
      </c>
      <c r="U15" s="530" t="s">
        <v>1426</v>
      </c>
      <c r="V15" s="532">
        <f t="shared" si="0"/>
        <v>16</v>
      </c>
      <c r="W15" s="77" t="str">
        <f>IF(COUNTBLANK(C15:U15)&gt;0,"Complete todas las preguntas",IF(R15="SI",'Base corrupción'!$C$2,IF(V15&lt;6,'Base corrupción'!$C$4,IF(AND(V15&gt;5,V15&lt;12),'Base corrupción'!$C$3,IF(AND(V15&gt;11,V15&lt;20),'Base corrupción'!$C$2,"Revisar fórmula")))))</f>
        <v>Catastrófico</v>
      </c>
    </row>
    <row r="16" spans="1:23" ht="67.5" x14ac:dyDescent="0.2">
      <c r="A16" s="530" t="s">
        <v>1451</v>
      </c>
      <c r="B16" s="531" t="s">
        <v>1452</v>
      </c>
      <c r="C16" s="530" t="s">
        <v>1425</v>
      </c>
      <c r="D16" s="530" t="s">
        <v>1425</v>
      </c>
      <c r="E16" s="530" t="s">
        <v>1425</v>
      </c>
      <c r="F16" s="530" t="s">
        <v>1425</v>
      </c>
      <c r="G16" s="530" t="s">
        <v>1425</v>
      </c>
      <c r="H16" s="530" t="s">
        <v>1425</v>
      </c>
      <c r="I16" s="530" t="s">
        <v>1425</v>
      </c>
      <c r="J16" s="530" t="s">
        <v>1426</v>
      </c>
      <c r="K16" s="530" t="s">
        <v>1426</v>
      </c>
      <c r="L16" s="530" t="s">
        <v>1425</v>
      </c>
      <c r="M16" s="530" t="s">
        <v>1425</v>
      </c>
      <c r="N16" s="530" t="s">
        <v>1425</v>
      </c>
      <c r="O16" s="530" t="s">
        <v>1426</v>
      </c>
      <c r="P16" s="530" t="s">
        <v>1426</v>
      </c>
      <c r="Q16" s="530" t="s">
        <v>1425</v>
      </c>
      <c r="R16" s="530" t="s">
        <v>1426</v>
      </c>
      <c r="S16" s="530" t="s">
        <v>1426</v>
      </c>
      <c r="T16" s="530" t="s">
        <v>1425</v>
      </c>
      <c r="U16" s="530" t="s">
        <v>1426</v>
      </c>
      <c r="V16" s="532">
        <f t="shared" si="0"/>
        <v>12</v>
      </c>
      <c r="W16" s="77" t="str">
        <f>IF(COUNTBLANK(C16:U16)&gt;0,"Complete todas las preguntas",IF(R16="SI",'Base corrupción'!$C$2,IF(V16&lt;6,'Base corrupción'!$C$4,IF(AND(V16&gt;5,V16&lt;12),'Base corrupción'!$C$3,IF(AND(V16&gt;11,V16&lt;20),'Base corrupción'!$C$2,"Revisar fórmula")))))</f>
        <v>Catastrófico</v>
      </c>
    </row>
    <row r="17" spans="1:23" ht="67.5" x14ac:dyDescent="0.2">
      <c r="A17" s="530" t="s">
        <v>1453</v>
      </c>
      <c r="B17" s="531" t="s">
        <v>1454</v>
      </c>
      <c r="C17" s="530" t="s">
        <v>1425</v>
      </c>
      <c r="D17" s="530" t="s">
        <v>1425</v>
      </c>
      <c r="E17" s="530" t="s">
        <v>1425</v>
      </c>
      <c r="F17" s="530" t="s">
        <v>1425</v>
      </c>
      <c r="G17" s="530" t="s">
        <v>1425</v>
      </c>
      <c r="H17" s="530" t="s">
        <v>1425</v>
      </c>
      <c r="I17" s="530" t="s">
        <v>1425</v>
      </c>
      <c r="J17" s="530" t="s">
        <v>1426</v>
      </c>
      <c r="K17" s="530" t="s">
        <v>1426</v>
      </c>
      <c r="L17" s="530" t="s">
        <v>1425</v>
      </c>
      <c r="M17" s="530" t="s">
        <v>1425</v>
      </c>
      <c r="N17" s="530" t="s">
        <v>1425</v>
      </c>
      <c r="O17" s="530" t="s">
        <v>1426</v>
      </c>
      <c r="P17" s="530" t="s">
        <v>1426</v>
      </c>
      <c r="Q17" s="530" t="s">
        <v>1425</v>
      </c>
      <c r="R17" s="530" t="s">
        <v>1426</v>
      </c>
      <c r="S17" s="530" t="s">
        <v>1425</v>
      </c>
      <c r="T17" s="530" t="s">
        <v>1425</v>
      </c>
      <c r="U17" s="530" t="s">
        <v>1426</v>
      </c>
      <c r="V17" s="532">
        <f t="shared" si="0"/>
        <v>13</v>
      </c>
      <c r="W17" s="77" t="str">
        <f>IF(COUNTBLANK(C17:U17)&gt;0,"Complete todas las preguntas",IF(R17="SI",'Base corrupción'!$C$2,IF(V17&lt;6,'Base corrupción'!$C$4,IF(AND(V17&gt;5,V17&lt;12),'Base corrupción'!$C$3,IF(AND(V17&gt;11,V17&lt;20),'Base corrupción'!$C$2,"Revisar fórmula")))))</f>
        <v>Catastrófico</v>
      </c>
    </row>
    <row r="18" spans="1:23" ht="78.75" x14ac:dyDescent="0.2">
      <c r="A18" s="530" t="s">
        <v>1455</v>
      </c>
      <c r="B18" s="531" t="s">
        <v>1456</v>
      </c>
      <c r="C18" s="530" t="s">
        <v>1425</v>
      </c>
      <c r="D18" s="530" t="s">
        <v>1425</v>
      </c>
      <c r="E18" s="530" t="s">
        <v>1425</v>
      </c>
      <c r="F18" s="530" t="s">
        <v>1425</v>
      </c>
      <c r="G18" s="530" t="s">
        <v>1425</v>
      </c>
      <c r="H18" s="530" t="s">
        <v>1425</v>
      </c>
      <c r="I18" s="530" t="s">
        <v>1425</v>
      </c>
      <c r="J18" s="530" t="s">
        <v>1426</v>
      </c>
      <c r="K18" s="530" t="s">
        <v>1426</v>
      </c>
      <c r="L18" s="530" t="s">
        <v>1425</v>
      </c>
      <c r="M18" s="530" t="s">
        <v>1425</v>
      </c>
      <c r="N18" s="530" t="s">
        <v>1425</v>
      </c>
      <c r="O18" s="530" t="s">
        <v>1426</v>
      </c>
      <c r="P18" s="530" t="s">
        <v>1426</v>
      </c>
      <c r="Q18" s="530" t="s">
        <v>1426</v>
      </c>
      <c r="R18" s="530" t="s">
        <v>1426</v>
      </c>
      <c r="S18" s="530" t="s">
        <v>1426</v>
      </c>
      <c r="T18" s="530" t="s">
        <v>1426</v>
      </c>
      <c r="U18" s="530" t="s">
        <v>1426</v>
      </c>
      <c r="V18" s="532">
        <f t="shared" si="0"/>
        <v>10</v>
      </c>
      <c r="W18" s="77" t="str">
        <f>IF(COUNTBLANK(C18:U18)&gt;0,"Complete todas las preguntas",IF(R18="SI",'Base corrupción'!$C$2,IF(V18&lt;6,'Base corrupción'!$C$4,IF(AND(V18&gt;5,V18&lt;12),'Base corrupción'!$C$3,IF(AND(V18&gt;11,V18&lt;20),'Base corrupción'!$C$2,"Revisar fórmula")))))</f>
        <v>Mayor</v>
      </c>
    </row>
    <row r="19" spans="1:23" ht="101.25" x14ac:dyDescent="0.2">
      <c r="A19" s="530" t="s">
        <v>1457</v>
      </c>
      <c r="B19" s="531" t="s">
        <v>1458</v>
      </c>
      <c r="C19" s="530" t="s">
        <v>1425</v>
      </c>
      <c r="D19" s="530" t="s">
        <v>1425</v>
      </c>
      <c r="E19" s="530" t="s">
        <v>1425</v>
      </c>
      <c r="F19" s="530" t="s">
        <v>1425</v>
      </c>
      <c r="G19" s="530" t="s">
        <v>1425</v>
      </c>
      <c r="H19" s="530" t="s">
        <v>1425</v>
      </c>
      <c r="I19" s="530" t="s">
        <v>1425</v>
      </c>
      <c r="J19" s="530" t="s">
        <v>1425</v>
      </c>
      <c r="K19" s="530" t="s">
        <v>1426</v>
      </c>
      <c r="L19" s="530" t="s">
        <v>1425</v>
      </c>
      <c r="M19" s="530" t="s">
        <v>1425</v>
      </c>
      <c r="N19" s="530" t="s">
        <v>1425</v>
      </c>
      <c r="O19" s="530" t="s">
        <v>1425</v>
      </c>
      <c r="P19" s="530" t="s">
        <v>1426</v>
      </c>
      <c r="Q19" s="530" t="s">
        <v>1425</v>
      </c>
      <c r="R19" s="530" t="s">
        <v>1426</v>
      </c>
      <c r="S19" s="530" t="s">
        <v>1425</v>
      </c>
      <c r="T19" s="530" t="s">
        <v>1425</v>
      </c>
      <c r="U19" s="530" t="s">
        <v>1426</v>
      </c>
      <c r="V19" s="532">
        <f t="shared" si="0"/>
        <v>15</v>
      </c>
      <c r="W19" s="77" t="str">
        <f>IF(COUNTBLANK(C19:U19)&gt;0,"Complete todas las preguntas",IF(R19="SI",'Base corrupción'!$C$2,IF(V19&lt;6,'Base corrupción'!$C$4,IF(AND(V19&gt;5,V19&lt;12),'Base corrupción'!$C$3,IF(AND(V19&gt;11,V19&lt;20),'Base corrupción'!$C$2,"Revisar fórmula")))))</f>
        <v>Catastrófico</v>
      </c>
    </row>
    <row r="20" spans="1:23" ht="67.5" x14ac:dyDescent="0.2">
      <c r="A20" s="530" t="s">
        <v>1459</v>
      </c>
      <c r="B20" s="531" t="s">
        <v>1460</v>
      </c>
      <c r="C20" s="533" t="s">
        <v>1425</v>
      </c>
      <c r="D20" s="533" t="s">
        <v>1425</v>
      </c>
      <c r="E20" s="533" t="s">
        <v>1425</v>
      </c>
      <c r="F20" s="533" t="s">
        <v>1425</v>
      </c>
      <c r="G20" s="533" t="s">
        <v>1425</v>
      </c>
      <c r="H20" s="533" t="s">
        <v>1425</v>
      </c>
      <c r="I20" s="533" t="s">
        <v>1425</v>
      </c>
      <c r="J20" s="533" t="s">
        <v>1425</v>
      </c>
      <c r="K20" s="533" t="s">
        <v>1426</v>
      </c>
      <c r="L20" s="533" t="s">
        <v>1425</v>
      </c>
      <c r="M20" s="533" t="s">
        <v>1425</v>
      </c>
      <c r="N20" s="533" t="s">
        <v>1425</v>
      </c>
      <c r="O20" s="533" t="s">
        <v>1425</v>
      </c>
      <c r="P20" s="533" t="s">
        <v>1425</v>
      </c>
      <c r="Q20" s="533" t="s">
        <v>1425</v>
      </c>
      <c r="R20" s="533" t="s">
        <v>1425</v>
      </c>
      <c r="S20" s="533" t="s">
        <v>1425</v>
      </c>
      <c r="T20" s="533" t="s">
        <v>1425</v>
      </c>
      <c r="U20" s="533" t="s">
        <v>1425</v>
      </c>
      <c r="V20" s="534">
        <v>18</v>
      </c>
      <c r="W20" s="77" t="str">
        <f>IF(COUNTBLANK(C20:U20)&gt;0,"Complete todas las preguntas",IF(R20="SI",'Base corrupción'!$C$2,IF(V20&lt;6,'Base corrupción'!$C$4,IF(AND(V20&gt;5,V20&lt;12),'Base corrupción'!$C$3,IF(AND(V20&gt;11,V20&lt;20),'Base corrupción'!$C$2,"Revisar fórmula")))))</f>
        <v>Catastrófico</v>
      </c>
    </row>
    <row r="21" spans="1:23" ht="67.5" x14ac:dyDescent="0.2">
      <c r="A21" s="530" t="s">
        <v>1461</v>
      </c>
      <c r="B21" s="531" t="s">
        <v>1462</v>
      </c>
      <c r="C21" s="530" t="s">
        <v>1425</v>
      </c>
      <c r="D21" s="530" t="s">
        <v>1425</v>
      </c>
      <c r="E21" s="530" t="s">
        <v>1425</v>
      </c>
      <c r="F21" s="530" t="s">
        <v>1426</v>
      </c>
      <c r="G21" s="530" t="s">
        <v>1425</v>
      </c>
      <c r="H21" s="530" t="s">
        <v>1426</v>
      </c>
      <c r="I21" s="530" t="s">
        <v>1426</v>
      </c>
      <c r="J21" s="530" t="s">
        <v>1426</v>
      </c>
      <c r="K21" s="530" t="s">
        <v>1425</v>
      </c>
      <c r="L21" s="530" t="s">
        <v>1425</v>
      </c>
      <c r="M21" s="530" t="s">
        <v>1425</v>
      </c>
      <c r="N21" s="530" t="s">
        <v>1425</v>
      </c>
      <c r="O21" s="530" t="s">
        <v>1426</v>
      </c>
      <c r="P21" s="530" t="s">
        <v>1426</v>
      </c>
      <c r="Q21" s="530" t="s">
        <v>1425</v>
      </c>
      <c r="R21" s="530" t="s">
        <v>1426</v>
      </c>
      <c r="S21" s="530" t="s">
        <v>1425</v>
      </c>
      <c r="T21" s="530" t="s">
        <v>1425</v>
      </c>
      <c r="U21" s="530" t="s">
        <v>1426</v>
      </c>
      <c r="V21" s="532">
        <f t="shared" si="0"/>
        <v>11</v>
      </c>
      <c r="W21" s="77" t="str">
        <f>IF(COUNTBLANK(C21:U21)&gt;0,"Complete todas las preguntas",IF(R21="SI",'Base corrupción'!$C$2,IF(V21&lt;6,'Base corrupción'!$C$4,IF(AND(V21&gt;5,V21&lt;12),'Base corrupción'!$C$3,IF(AND(V21&gt;11,V21&lt;20),'Base corrupción'!$C$2,"Revisar fórmula")))))</f>
        <v>Mayor</v>
      </c>
    </row>
    <row r="22" spans="1:23" ht="90" x14ac:dyDescent="0.2">
      <c r="A22" s="530" t="s">
        <v>1463</v>
      </c>
      <c r="B22" s="531" t="s">
        <v>1464</v>
      </c>
      <c r="C22" s="530" t="s">
        <v>1425</v>
      </c>
      <c r="D22" s="530" t="s">
        <v>1425</v>
      </c>
      <c r="E22" s="530" t="s">
        <v>1425</v>
      </c>
      <c r="F22" s="530" t="s">
        <v>1425</v>
      </c>
      <c r="G22" s="530" t="s">
        <v>1425</v>
      </c>
      <c r="H22" s="530" t="s">
        <v>1425</v>
      </c>
      <c r="I22" s="530" t="s">
        <v>1425</v>
      </c>
      <c r="J22" s="530" t="s">
        <v>1425</v>
      </c>
      <c r="K22" s="530" t="s">
        <v>1425</v>
      </c>
      <c r="L22" s="530" t="s">
        <v>1425</v>
      </c>
      <c r="M22" s="530" t="s">
        <v>1425</v>
      </c>
      <c r="N22" s="530" t="s">
        <v>1425</v>
      </c>
      <c r="O22" s="530" t="s">
        <v>1426</v>
      </c>
      <c r="P22" s="530" t="s">
        <v>1426</v>
      </c>
      <c r="Q22" s="530" t="s">
        <v>1425</v>
      </c>
      <c r="R22" s="530" t="s">
        <v>1426</v>
      </c>
      <c r="S22" s="530" t="s">
        <v>1426</v>
      </c>
      <c r="T22" s="530" t="s">
        <v>1425</v>
      </c>
      <c r="U22" s="530" t="s">
        <v>1426</v>
      </c>
      <c r="V22" s="532">
        <f t="shared" si="0"/>
        <v>14</v>
      </c>
      <c r="W22" s="77" t="str">
        <f>IF(COUNTBLANK(C22:U22)&gt;0,"Complete todas las preguntas",IF(R22="SI",'Base corrupción'!$C$2,IF(V22&lt;6,'Base corrupción'!$C$4,IF(AND(V22&gt;5,V22&lt;12),'Base corrupción'!$C$3,IF(AND(V22&gt;11,V22&lt;20),'Base corrupción'!$C$2,"Revisar fórmula")))))</f>
        <v>Catastrófico</v>
      </c>
    </row>
    <row r="23" spans="1:23" ht="67.5" x14ac:dyDescent="0.2">
      <c r="A23" s="530" t="s">
        <v>1465</v>
      </c>
      <c r="B23" s="531" t="s">
        <v>1466</v>
      </c>
      <c r="C23" s="530" t="s">
        <v>1425</v>
      </c>
      <c r="D23" s="530" t="s">
        <v>1425</v>
      </c>
      <c r="E23" s="530" t="s">
        <v>1425</v>
      </c>
      <c r="F23" s="530" t="s">
        <v>1425</v>
      </c>
      <c r="G23" s="530" t="s">
        <v>1425</v>
      </c>
      <c r="H23" s="530" t="s">
        <v>1425</v>
      </c>
      <c r="I23" s="530" t="s">
        <v>1425</v>
      </c>
      <c r="J23" s="530" t="s">
        <v>1425</v>
      </c>
      <c r="K23" s="530" t="s">
        <v>1426</v>
      </c>
      <c r="L23" s="530" t="s">
        <v>1425</v>
      </c>
      <c r="M23" s="530" t="s">
        <v>1425</v>
      </c>
      <c r="N23" s="530" t="s">
        <v>1425</v>
      </c>
      <c r="O23" s="530" t="s">
        <v>1425</v>
      </c>
      <c r="P23" s="530" t="s">
        <v>1426</v>
      </c>
      <c r="Q23" s="530" t="s">
        <v>1425</v>
      </c>
      <c r="R23" s="530" t="s">
        <v>1426</v>
      </c>
      <c r="S23" s="530" t="s">
        <v>1426</v>
      </c>
      <c r="T23" s="530" t="s">
        <v>1425</v>
      </c>
      <c r="U23" s="530" t="s">
        <v>1426</v>
      </c>
      <c r="V23" s="532">
        <f t="shared" si="0"/>
        <v>14</v>
      </c>
      <c r="W23" s="77" t="str">
        <f>IF(COUNTBLANK(C23:U23)&gt;0,"Complete todas las preguntas",IF(R23="SI",'Base corrupción'!$C$2,IF(V23&lt;6,'Base corrupción'!$C$4,IF(AND(V23&gt;5,V23&lt;12),'Base corrupción'!$C$3,IF(AND(V23&gt;11,V23&lt;20),'Base corrupción'!$C$2,"Revisar fórmula")))))</f>
        <v>Catastrófico</v>
      </c>
    </row>
    <row r="24" spans="1:23" ht="90" x14ac:dyDescent="0.2">
      <c r="A24" s="530" t="s">
        <v>1467</v>
      </c>
      <c r="B24" s="531" t="s">
        <v>1468</v>
      </c>
      <c r="C24" s="530" t="s">
        <v>1425</v>
      </c>
      <c r="D24" s="530" t="s">
        <v>1425</v>
      </c>
      <c r="E24" s="530" t="s">
        <v>1425</v>
      </c>
      <c r="F24" s="530" t="s">
        <v>1426</v>
      </c>
      <c r="G24" s="530" t="s">
        <v>1425</v>
      </c>
      <c r="H24" s="530" t="s">
        <v>1425</v>
      </c>
      <c r="I24" s="530" t="s">
        <v>1425</v>
      </c>
      <c r="J24" s="530" t="s">
        <v>1426</v>
      </c>
      <c r="K24" s="530" t="s">
        <v>1426</v>
      </c>
      <c r="L24" s="530" t="s">
        <v>1426</v>
      </c>
      <c r="M24" s="530" t="s">
        <v>1426</v>
      </c>
      <c r="N24" s="530" t="s">
        <v>1425</v>
      </c>
      <c r="O24" s="530" t="s">
        <v>1426</v>
      </c>
      <c r="P24" s="530" t="s">
        <v>1426</v>
      </c>
      <c r="Q24" s="530" t="s">
        <v>1425</v>
      </c>
      <c r="R24" s="530" t="s">
        <v>1426</v>
      </c>
      <c r="S24" s="530" t="s">
        <v>1425</v>
      </c>
      <c r="T24" s="530" t="s">
        <v>1426</v>
      </c>
      <c r="U24" s="530" t="s">
        <v>1426</v>
      </c>
      <c r="V24" s="532">
        <f t="shared" si="0"/>
        <v>9</v>
      </c>
      <c r="W24" s="77" t="str">
        <f>IF(COUNTBLANK(C24:U24)&gt;0,"Complete todas las preguntas",IF(R24="SI",'Base corrupción'!$C$2,IF(V24&lt;6,'Base corrupción'!$C$4,IF(AND(V24&gt;5,V24&lt;12),'Base corrupción'!$C$3,IF(AND(V24&gt;11,V24&lt;20),'Base corrupción'!$C$2,"Revisar fórmula")))))</f>
        <v>Mayor</v>
      </c>
    </row>
    <row r="25" spans="1:23" ht="112.5" x14ac:dyDescent="0.2">
      <c r="A25" s="530" t="s">
        <v>1469</v>
      </c>
      <c r="B25" s="531" t="s">
        <v>1470</v>
      </c>
      <c r="C25" s="530" t="s">
        <v>1425</v>
      </c>
      <c r="D25" s="530" t="s">
        <v>1425</v>
      </c>
      <c r="E25" s="530" t="s">
        <v>1425</v>
      </c>
      <c r="F25" s="530" t="s">
        <v>1426</v>
      </c>
      <c r="G25" s="530" t="s">
        <v>1425</v>
      </c>
      <c r="H25" s="530" t="s">
        <v>1426</v>
      </c>
      <c r="I25" s="530" t="s">
        <v>1425</v>
      </c>
      <c r="J25" s="530" t="s">
        <v>1426</v>
      </c>
      <c r="K25" s="530" t="s">
        <v>1425</v>
      </c>
      <c r="L25" s="530" t="s">
        <v>1425</v>
      </c>
      <c r="M25" s="530" t="s">
        <v>1425</v>
      </c>
      <c r="N25" s="530" t="s">
        <v>1425</v>
      </c>
      <c r="O25" s="530" t="s">
        <v>1425</v>
      </c>
      <c r="P25" s="530" t="s">
        <v>1426</v>
      </c>
      <c r="Q25" s="530" t="s">
        <v>1426</v>
      </c>
      <c r="R25" s="530" t="s">
        <v>1426</v>
      </c>
      <c r="S25" s="530" t="s">
        <v>1425</v>
      </c>
      <c r="T25" s="530" t="s">
        <v>1425</v>
      </c>
      <c r="U25" s="530" t="s">
        <v>1425</v>
      </c>
      <c r="V25" s="532">
        <f t="shared" si="0"/>
        <v>13</v>
      </c>
      <c r="W25" s="77" t="str">
        <f>IF(COUNTBLANK(C25:U25)&gt;0,"Complete todas las preguntas",IF(R25="SI",'Base corrupción'!$C$2,IF(V25&lt;6,'Base corrupción'!$C$4,IF(AND(V25&gt;5,V25&lt;12),'Base corrupción'!$C$3,IF(AND(V25&gt;11,V25&lt;20),'Base corrupción'!$C$2,"Revisar fórmula")))))</f>
        <v>Catastrófico</v>
      </c>
    </row>
    <row r="26" spans="1:23" ht="78.75" x14ac:dyDescent="0.2">
      <c r="A26" s="535" t="s">
        <v>1471</v>
      </c>
      <c r="B26" s="77" t="s">
        <v>1472</v>
      </c>
      <c r="C26" s="533" t="s">
        <v>1425</v>
      </c>
      <c r="D26" s="533" t="s">
        <v>1425</v>
      </c>
      <c r="E26" s="533" t="s">
        <v>1426</v>
      </c>
      <c r="F26" s="533" t="s">
        <v>1426</v>
      </c>
      <c r="G26" s="533" t="s">
        <v>1425</v>
      </c>
      <c r="H26" s="533" t="s">
        <v>1425</v>
      </c>
      <c r="I26" s="533" t="s">
        <v>1426</v>
      </c>
      <c r="J26" s="533" t="s">
        <v>1426</v>
      </c>
      <c r="K26" s="533" t="s">
        <v>1426</v>
      </c>
      <c r="L26" s="533" t="s">
        <v>1425</v>
      </c>
      <c r="M26" s="533" t="s">
        <v>1425</v>
      </c>
      <c r="N26" s="533" t="s">
        <v>1425</v>
      </c>
      <c r="O26" s="533" t="s">
        <v>1425</v>
      </c>
      <c r="P26" s="533" t="s">
        <v>1425</v>
      </c>
      <c r="Q26" s="533" t="s">
        <v>1425</v>
      </c>
      <c r="R26" s="533" t="s">
        <v>1426</v>
      </c>
      <c r="S26" s="533" t="s">
        <v>1425</v>
      </c>
      <c r="T26" s="533" t="s">
        <v>1425</v>
      </c>
      <c r="U26" s="533" t="s">
        <v>1426</v>
      </c>
      <c r="V26" s="81">
        <f t="shared" ref="V26:V42" si="1">COUNTIF(C26:U26,"SI")</f>
        <v>12</v>
      </c>
      <c r="W26" s="77" t="str">
        <f>IF(COUNTBLANK(C26:U26)&gt;0,"Complete todas las preguntas",IF(R26="SI",'Base corrupción'!$C$2,IF(V26&lt;6,'Base corrupción'!$C$4,IF(AND(V26&gt;5,V26&lt;12),'Base corrupción'!$C$3,IF(AND(V26&gt;11,V26&lt;20),'Base corrupción'!$C$2,"Revisar fórmula")))))</f>
        <v>Catastrófico</v>
      </c>
    </row>
    <row r="27" spans="1:23" ht="90" x14ac:dyDescent="0.2">
      <c r="A27" s="535" t="s">
        <v>1473</v>
      </c>
      <c r="B27" s="77" t="s">
        <v>1474</v>
      </c>
      <c r="C27" s="533" t="s">
        <v>1425</v>
      </c>
      <c r="D27" s="533" t="s">
        <v>1425</v>
      </c>
      <c r="E27" s="533" t="s">
        <v>1426</v>
      </c>
      <c r="F27" s="533" t="s">
        <v>1426</v>
      </c>
      <c r="G27" s="533" t="s">
        <v>1425</v>
      </c>
      <c r="H27" s="533" t="s">
        <v>1425</v>
      </c>
      <c r="I27" s="533" t="s">
        <v>1426</v>
      </c>
      <c r="J27" s="533" t="s">
        <v>1426</v>
      </c>
      <c r="K27" s="533" t="s">
        <v>1426</v>
      </c>
      <c r="L27" s="533" t="s">
        <v>1425</v>
      </c>
      <c r="M27" s="533" t="s">
        <v>1425</v>
      </c>
      <c r="N27" s="533" t="s">
        <v>1425</v>
      </c>
      <c r="O27" s="533" t="s">
        <v>1425</v>
      </c>
      <c r="P27" s="533" t="s">
        <v>1425</v>
      </c>
      <c r="Q27" s="533" t="s">
        <v>1425</v>
      </c>
      <c r="R27" s="533" t="s">
        <v>1426</v>
      </c>
      <c r="S27" s="533" t="s">
        <v>1425</v>
      </c>
      <c r="T27" s="533" t="s">
        <v>1425</v>
      </c>
      <c r="U27" s="533" t="s">
        <v>1426</v>
      </c>
      <c r="V27" s="81">
        <f t="shared" si="1"/>
        <v>12</v>
      </c>
      <c r="W27" s="77" t="str">
        <f>IF(COUNTBLANK(C27:U27)&gt;0,"Complete todas las preguntas",IF(R27="SI",'Base corrupción'!$C$2,IF(V27&lt;6,'Base corrupción'!$C$4,IF(AND(V27&gt;5,V27&lt;12),'Base corrupción'!$C$3,IF(AND(V27&gt;11,V27&lt;20),'Base corrupción'!$C$2,"Revisar fórmula")))))</f>
        <v>Catastrófico</v>
      </c>
    </row>
    <row r="28" spans="1:23" ht="74.25" customHeight="1" x14ac:dyDescent="0.2">
      <c r="A28" s="535" t="s">
        <v>1475</v>
      </c>
      <c r="B28" s="77" t="s">
        <v>1476</v>
      </c>
      <c r="C28" s="536" t="s">
        <v>1425</v>
      </c>
      <c r="D28" s="536" t="s">
        <v>1425</v>
      </c>
      <c r="E28" s="536" t="s">
        <v>1426</v>
      </c>
      <c r="F28" s="536" t="s">
        <v>1426</v>
      </c>
      <c r="G28" s="536" t="s">
        <v>1426</v>
      </c>
      <c r="H28" s="536" t="s">
        <v>1425</v>
      </c>
      <c r="I28" s="536" t="s">
        <v>1426</v>
      </c>
      <c r="J28" s="536" t="s">
        <v>1425</v>
      </c>
      <c r="K28" s="536" t="s">
        <v>1425</v>
      </c>
      <c r="L28" s="536" t="s">
        <v>1426</v>
      </c>
      <c r="M28" s="536" t="s">
        <v>1426</v>
      </c>
      <c r="N28" s="536" t="s">
        <v>1425</v>
      </c>
      <c r="O28" s="536" t="s">
        <v>1426</v>
      </c>
      <c r="P28" s="536" t="s">
        <v>1425</v>
      </c>
      <c r="Q28" s="536" t="s">
        <v>1426</v>
      </c>
      <c r="R28" s="536" t="s">
        <v>1426</v>
      </c>
      <c r="S28" s="536" t="s">
        <v>1426</v>
      </c>
      <c r="T28" s="536" t="s">
        <v>1426</v>
      </c>
      <c r="U28" s="536" t="s">
        <v>1426</v>
      </c>
      <c r="V28" s="81">
        <f t="shared" si="1"/>
        <v>7</v>
      </c>
      <c r="W28" s="77" t="str">
        <f>IF(COUNTBLANK(C28:U28)&gt;0,"Complete todas las preguntas",IF(R28="SI",'Base corrupción'!$C$2,IF(V28&lt;6,'Base corrupción'!$C$4,IF(AND(V28&gt;5,V28&lt;12),'Base corrupción'!$C$3,IF(AND(V28&gt;11,V28&lt;20),'Base corrupción'!$C$2,"Revisar fórmula")))))</f>
        <v>Mayor</v>
      </c>
    </row>
    <row r="29" spans="1:23" ht="56.25" x14ac:dyDescent="0.2">
      <c r="A29" s="535" t="s">
        <v>1477</v>
      </c>
      <c r="B29" s="77" t="s">
        <v>1478</v>
      </c>
      <c r="C29" s="536" t="s">
        <v>1425</v>
      </c>
      <c r="D29" s="536" t="s">
        <v>1425</v>
      </c>
      <c r="E29" s="536" t="s">
        <v>1425</v>
      </c>
      <c r="F29" s="536" t="s">
        <v>1425</v>
      </c>
      <c r="G29" s="536" t="s">
        <v>1425</v>
      </c>
      <c r="H29" s="536" t="s">
        <v>1425</v>
      </c>
      <c r="I29" s="536" t="s">
        <v>1425</v>
      </c>
      <c r="J29" s="536" t="s">
        <v>1426</v>
      </c>
      <c r="K29" s="536" t="s">
        <v>1425</v>
      </c>
      <c r="L29" s="536" t="s">
        <v>1425</v>
      </c>
      <c r="M29" s="536" t="s">
        <v>1425</v>
      </c>
      <c r="N29" s="536" t="s">
        <v>1425</v>
      </c>
      <c r="O29" s="536" t="s">
        <v>1426</v>
      </c>
      <c r="P29" s="536" t="s">
        <v>1425</v>
      </c>
      <c r="Q29" s="536" t="s">
        <v>1425</v>
      </c>
      <c r="R29" s="536" t="s">
        <v>1426</v>
      </c>
      <c r="S29" s="536" t="s">
        <v>1426</v>
      </c>
      <c r="T29" s="536" t="s">
        <v>1425</v>
      </c>
      <c r="U29" s="536" t="s">
        <v>1426</v>
      </c>
      <c r="V29" s="81">
        <f t="shared" si="1"/>
        <v>14</v>
      </c>
      <c r="W29" s="77" t="str">
        <f>IF(COUNTBLANK(C29:U29)&gt;0,"Complete todas las preguntas",IF(R29="SI",'Base corrupción'!$C$2,IF(V29&lt;6,'Base corrupción'!$C$4,IF(AND(V29&gt;5,V29&lt;12),'Base corrupción'!$C$3,IF(AND(V29&gt;11,V29&lt;20),'Base corrupción'!$C$2,"Revisar fórmula")))))</f>
        <v>Catastrófico</v>
      </c>
    </row>
    <row r="30" spans="1:23" ht="22.5" x14ac:dyDescent="0.2">
      <c r="A30" s="535"/>
      <c r="B30" s="77"/>
      <c r="C30" s="535"/>
      <c r="D30" s="535"/>
      <c r="E30" s="535"/>
      <c r="F30" s="535"/>
      <c r="G30" s="535"/>
      <c r="H30" s="535"/>
      <c r="I30" s="535"/>
      <c r="J30" s="535"/>
      <c r="K30" s="535"/>
      <c r="L30" s="535"/>
      <c r="M30" s="535"/>
      <c r="N30" s="535"/>
      <c r="O30" s="535"/>
      <c r="P30" s="535"/>
      <c r="Q30" s="535"/>
      <c r="R30" s="535"/>
      <c r="S30" s="535"/>
      <c r="T30" s="535"/>
      <c r="U30" s="535"/>
      <c r="V30" s="81">
        <f t="shared" si="1"/>
        <v>0</v>
      </c>
      <c r="W30" s="77" t="str">
        <f>IF(COUNTBLANK(C30:U30)&gt;0,"Complete todas las preguntas",IF(R30="SI",'Base corrupción'!$C$2,IF(V30&lt;6,'Base corrupción'!$C$4,IF(AND(V30&gt;5,V30&lt;12),'Base corrupción'!$C$3,IF(AND(V30&gt;11,V30&lt;20),'Base corrupción'!$C$2,"Revisar fórmula")))))</f>
        <v>Complete todas las preguntas</v>
      </c>
    </row>
    <row r="31" spans="1:23" ht="22.5" x14ac:dyDescent="0.2">
      <c r="A31" s="535"/>
      <c r="B31" s="77"/>
      <c r="C31" s="535"/>
      <c r="D31" s="535"/>
      <c r="E31" s="535"/>
      <c r="F31" s="535"/>
      <c r="G31" s="535"/>
      <c r="H31" s="535"/>
      <c r="I31" s="535"/>
      <c r="J31" s="535"/>
      <c r="K31" s="535"/>
      <c r="L31" s="535"/>
      <c r="M31" s="535"/>
      <c r="N31" s="535"/>
      <c r="O31" s="535"/>
      <c r="P31" s="535"/>
      <c r="Q31" s="535"/>
      <c r="R31" s="535"/>
      <c r="S31" s="535"/>
      <c r="T31" s="535"/>
      <c r="U31" s="535"/>
      <c r="V31" s="81">
        <f t="shared" si="1"/>
        <v>0</v>
      </c>
      <c r="W31" s="77" t="str">
        <f>IF(COUNTBLANK(C31:U31)&gt;0,"Complete todas las preguntas",IF(R31="SI",'Base corrupción'!$C$2,IF(V31&lt;6,'Base corrupción'!$C$4,IF(AND(V31&gt;5,V31&lt;12),'Base corrupción'!$C$3,IF(AND(V31&gt;11,V31&lt;20),'Base corrupción'!$C$2,"Revisar fórmula")))))</f>
        <v>Complete todas las preguntas</v>
      </c>
    </row>
    <row r="32" spans="1:23" ht="22.5" x14ac:dyDescent="0.2">
      <c r="A32" s="535"/>
      <c r="B32" s="77"/>
      <c r="C32" s="535"/>
      <c r="D32" s="535"/>
      <c r="E32" s="535"/>
      <c r="F32" s="535"/>
      <c r="G32" s="535"/>
      <c r="H32" s="535"/>
      <c r="I32" s="535"/>
      <c r="J32" s="535"/>
      <c r="K32" s="535"/>
      <c r="L32" s="535"/>
      <c r="M32" s="535"/>
      <c r="N32" s="535"/>
      <c r="O32" s="535"/>
      <c r="P32" s="535"/>
      <c r="Q32" s="535"/>
      <c r="R32" s="535"/>
      <c r="S32" s="535"/>
      <c r="T32" s="535"/>
      <c r="U32" s="535"/>
      <c r="V32" s="81">
        <f t="shared" si="1"/>
        <v>0</v>
      </c>
      <c r="W32" s="77" t="str">
        <f>IF(COUNTBLANK(C32:U32)&gt;0,"Complete todas las preguntas",IF(R32="SI",'Base corrupción'!$C$2,IF(V32&lt;6,'Base corrupción'!$C$4,IF(AND(V32&gt;5,V32&lt;12),'Base corrupción'!$C$3,IF(AND(V32&gt;11,V32&lt;20),'Base corrupción'!$C$2,"Revisar fórmula")))))</f>
        <v>Complete todas las preguntas</v>
      </c>
    </row>
    <row r="33" spans="1:23" ht="22.5" x14ac:dyDescent="0.2">
      <c r="A33" s="535"/>
      <c r="B33" s="77"/>
      <c r="C33" s="535"/>
      <c r="D33" s="535"/>
      <c r="E33" s="535"/>
      <c r="F33" s="535"/>
      <c r="G33" s="535"/>
      <c r="H33" s="535"/>
      <c r="I33" s="535"/>
      <c r="J33" s="535"/>
      <c r="K33" s="535"/>
      <c r="L33" s="535"/>
      <c r="M33" s="535"/>
      <c r="N33" s="535"/>
      <c r="O33" s="535"/>
      <c r="P33" s="535"/>
      <c r="Q33" s="535"/>
      <c r="R33" s="535"/>
      <c r="S33" s="535"/>
      <c r="T33" s="535"/>
      <c r="U33" s="535"/>
      <c r="V33" s="81">
        <f t="shared" si="1"/>
        <v>0</v>
      </c>
      <c r="W33" s="77" t="str">
        <f>IF(COUNTBLANK(C33:U33)&gt;0,"Complete todas las preguntas",IF(R33="SI",'Base corrupción'!$C$2,IF(V33&lt;6,'Base corrupción'!$C$4,IF(AND(V33&gt;5,V33&lt;12),'Base corrupción'!$C$3,IF(AND(V33&gt;11,V33&lt;20),'Base corrupción'!$C$2,"Revisar fórmula")))))</f>
        <v>Complete todas las preguntas</v>
      </c>
    </row>
    <row r="34" spans="1:23" ht="22.5" x14ac:dyDescent="0.2">
      <c r="A34" s="535"/>
      <c r="B34" s="77"/>
      <c r="C34" s="535"/>
      <c r="D34" s="535"/>
      <c r="E34" s="535"/>
      <c r="F34" s="535"/>
      <c r="G34" s="535"/>
      <c r="H34" s="535"/>
      <c r="I34" s="535"/>
      <c r="J34" s="535"/>
      <c r="K34" s="535"/>
      <c r="L34" s="535"/>
      <c r="M34" s="535"/>
      <c r="N34" s="535"/>
      <c r="O34" s="535"/>
      <c r="P34" s="535"/>
      <c r="Q34" s="535"/>
      <c r="R34" s="535"/>
      <c r="S34" s="535"/>
      <c r="T34" s="535"/>
      <c r="U34" s="535"/>
      <c r="V34" s="81">
        <f t="shared" si="1"/>
        <v>0</v>
      </c>
      <c r="W34" s="77" t="str">
        <f>IF(COUNTBLANK(C34:U34)&gt;0,"Complete todas las preguntas",IF(R34="SI",'Base corrupción'!$C$2,IF(V34&lt;6,'Base corrupción'!$C$4,IF(AND(V34&gt;5,V34&lt;12),'Base corrupción'!$C$3,IF(AND(V34&gt;11,V34&lt;20),'Base corrupción'!$C$2,"Revisar fórmula")))))</f>
        <v>Complete todas las preguntas</v>
      </c>
    </row>
    <row r="35" spans="1:23" ht="22.5" x14ac:dyDescent="0.2">
      <c r="A35" s="535"/>
      <c r="B35" s="77"/>
      <c r="C35" s="535"/>
      <c r="D35" s="535"/>
      <c r="E35" s="535"/>
      <c r="F35" s="535"/>
      <c r="G35" s="535"/>
      <c r="H35" s="535"/>
      <c r="I35" s="535"/>
      <c r="J35" s="535"/>
      <c r="K35" s="535"/>
      <c r="L35" s="535"/>
      <c r="M35" s="535"/>
      <c r="N35" s="535"/>
      <c r="O35" s="535"/>
      <c r="P35" s="535"/>
      <c r="Q35" s="535"/>
      <c r="R35" s="535"/>
      <c r="S35" s="535"/>
      <c r="T35" s="535"/>
      <c r="U35" s="535"/>
      <c r="V35" s="81">
        <f t="shared" si="1"/>
        <v>0</v>
      </c>
      <c r="W35" s="77" t="str">
        <f>IF(COUNTBLANK(C35:U35)&gt;0,"Complete todas las preguntas",IF(R35="SI",'Base corrupción'!$C$2,IF(V35&lt;6,'Base corrupción'!$C$4,IF(AND(V35&gt;5,V35&lt;12),'Base corrupción'!$C$3,IF(AND(V35&gt;11,V35&lt;20),'Base corrupción'!$C$2,"Revisar fórmula")))))</f>
        <v>Complete todas las preguntas</v>
      </c>
    </row>
    <row r="36" spans="1:23" ht="22.5" x14ac:dyDescent="0.2">
      <c r="A36" s="535"/>
      <c r="B36" s="77"/>
      <c r="C36" s="535"/>
      <c r="D36" s="535"/>
      <c r="E36" s="535"/>
      <c r="F36" s="535"/>
      <c r="G36" s="535"/>
      <c r="H36" s="535"/>
      <c r="I36" s="535"/>
      <c r="J36" s="535"/>
      <c r="K36" s="535"/>
      <c r="L36" s="535"/>
      <c r="M36" s="535"/>
      <c r="N36" s="535"/>
      <c r="O36" s="535"/>
      <c r="P36" s="535"/>
      <c r="Q36" s="535"/>
      <c r="R36" s="535"/>
      <c r="S36" s="535"/>
      <c r="T36" s="535"/>
      <c r="U36" s="535"/>
      <c r="V36" s="81">
        <f t="shared" si="1"/>
        <v>0</v>
      </c>
      <c r="W36" s="77" t="str">
        <f>IF(COUNTBLANK(C36:U36)&gt;0,"Complete todas las preguntas",IF(R36="SI",'Base corrupción'!$C$2,IF(V36&lt;6,'Base corrupción'!$C$4,IF(AND(V36&gt;5,V36&lt;12),'Base corrupción'!$C$3,IF(AND(V36&gt;11,V36&lt;20),'Base corrupción'!$C$2,"Revisar fórmula")))))</f>
        <v>Complete todas las preguntas</v>
      </c>
    </row>
    <row r="37" spans="1:23" ht="22.5" x14ac:dyDescent="0.2">
      <c r="A37" s="535"/>
      <c r="B37" s="77"/>
      <c r="C37" s="535"/>
      <c r="D37" s="535"/>
      <c r="E37" s="535"/>
      <c r="F37" s="535"/>
      <c r="G37" s="535"/>
      <c r="H37" s="535"/>
      <c r="I37" s="535"/>
      <c r="J37" s="535"/>
      <c r="K37" s="535"/>
      <c r="L37" s="535"/>
      <c r="M37" s="535"/>
      <c r="N37" s="535"/>
      <c r="O37" s="535"/>
      <c r="P37" s="535"/>
      <c r="Q37" s="535"/>
      <c r="R37" s="535"/>
      <c r="S37" s="535"/>
      <c r="T37" s="535"/>
      <c r="U37" s="535"/>
      <c r="V37" s="81">
        <f t="shared" si="1"/>
        <v>0</v>
      </c>
      <c r="W37" s="77" t="str">
        <f>IF(COUNTBLANK(C37:U37)&gt;0,"Complete todas las preguntas",IF(R37="SI",'Base corrupción'!$C$2,IF(V37&lt;6,'Base corrupción'!$C$4,IF(AND(V37&gt;5,V37&lt;12),'Base corrupción'!$C$3,IF(AND(V37&gt;11,V37&lt;20),'Base corrupción'!$C$2,"Revisar fórmula")))))</f>
        <v>Complete todas las preguntas</v>
      </c>
    </row>
    <row r="38" spans="1:23" ht="22.5" x14ac:dyDescent="0.2">
      <c r="A38" s="535"/>
      <c r="B38" s="77"/>
      <c r="C38" s="535"/>
      <c r="D38" s="535"/>
      <c r="E38" s="535"/>
      <c r="F38" s="535"/>
      <c r="G38" s="535"/>
      <c r="H38" s="535"/>
      <c r="I38" s="535"/>
      <c r="J38" s="535"/>
      <c r="K38" s="535"/>
      <c r="L38" s="535"/>
      <c r="M38" s="535"/>
      <c r="N38" s="535"/>
      <c r="O38" s="535"/>
      <c r="P38" s="535"/>
      <c r="Q38" s="535"/>
      <c r="R38" s="535"/>
      <c r="S38" s="535"/>
      <c r="T38" s="535"/>
      <c r="U38" s="535"/>
      <c r="V38" s="81">
        <f t="shared" si="1"/>
        <v>0</v>
      </c>
      <c r="W38" s="77" t="str">
        <f>IF(COUNTBLANK(C38:U38)&gt;0,"Complete todas las preguntas",IF(R38="SI",'Base corrupción'!$C$2,IF(V38&lt;6,'Base corrupción'!$C$4,IF(AND(V38&gt;5,V38&lt;12),'Base corrupción'!$C$3,IF(AND(V38&gt;11,V38&lt;20),'Base corrupción'!$C$2,"Revisar fórmula")))))</f>
        <v>Complete todas las preguntas</v>
      </c>
    </row>
    <row r="39" spans="1:23" ht="22.5" x14ac:dyDescent="0.2">
      <c r="A39" s="79"/>
      <c r="B39" s="80"/>
      <c r="C39" s="79"/>
      <c r="D39" s="79"/>
      <c r="E39" s="79"/>
      <c r="F39" s="79"/>
      <c r="G39" s="79"/>
      <c r="H39" s="79"/>
      <c r="I39" s="79"/>
      <c r="J39" s="79"/>
      <c r="K39" s="79"/>
      <c r="L39" s="79"/>
      <c r="M39" s="79"/>
      <c r="N39" s="79"/>
      <c r="O39" s="79"/>
      <c r="P39" s="79"/>
      <c r="Q39" s="79"/>
      <c r="R39" s="79"/>
      <c r="S39" s="79"/>
      <c r="T39" s="79"/>
      <c r="U39" s="79"/>
      <c r="V39" s="81">
        <f t="shared" si="1"/>
        <v>0</v>
      </c>
      <c r="W39" s="77" t="str">
        <f>IF(COUNTBLANK(C39:U39)&gt;0,"Complete todas las preguntas",IF(R39="SI",'Base corrupción'!$C$2,IF(V39&lt;6,'Base corrupción'!$C$4,IF(AND(V39&gt;5,V39&lt;12),'Base corrupción'!$C$3,IF(AND(V39&gt;11,V39&lt;20),'Base corrupción'!$C$2,"Revisar fórmula")))))</f>
        <v>Complete todas las preguntas</v>
      </c>
    </row>
    <row r="40" spans="1:23" ht="22.5" x14ac:dyDescent="0.2">
      <c r="A40" s="79"/>
      <c r="B40" s="80"/>
      <c r="C40" s="79"/>
      <c r="D40" s="79"/>
      <c r="E40" s="79"/>
      <c r="F40" s="79"/>
      <c r="G40" s="79"/>
      <c r="H40" s="79"/>
      <c r="I40" s="79"/>
      <c r="J40" s="79"/>
      <c r="K40" s="79"/>
      <c r="L40" s="79"/>
      <c r="M40" s="79"/>
      <c r="N40" s="79"/>
      <c r="O40" s="79"/>
      <c r="P40" s="79"/>
      <c r="Q40" s="79"/>
      <c r="R40" s="79"/>
      <c r="S40" s="79"/>
      <c r="T40" s="79"/>
      <c r="U40" s="79"/>
      <c r="V40" s="81">
        <f t="shared" si="1"/>
        <v>0</v>
      </c>
      <c r="W40" s="77" t="str">
        <f>IF(COUNTBLANK(C40:U40)&gt;0,"Complete todas las preguntas",IF(R40="SI",'Base corrupción'!$C$2,IF(V40&lt;6,'Base corrupción'!$C$4,IF(AND(V40&gt;5,V40&lt;12),'Base corrupción'!$C$3,IF(AND(V40&gt;11,V40&lt;20),'Base corrupción'!$C$2,"Revisar fórmula")))))</f>
        <v>Complete todas las preguntas</v>
      </c>
    </row>
    <row r="41" spans="1:23" ht="22.5" x14ac:dyDescent="0.2">
      <c r="A41" s="79"/>
      <c r="B41" s="80"/>
      <c r="C41" s="79"/>
      <c r="D41" s="79"/>
      <c r="E41" s="79"/>
      <c r="F41" s="79"/>
      <c r="G41" s="79"/>
      <c r="H41" s="79"/>
      <c r="I41" s="79"/>
      <c r="J41" s="79"/>
      <c r="K41" s="79"/>
      <c r="L41" s="79"/>
      <c r="M41" s="79"/>
      <c r="N41" s="79"/>
      <c r="O41" s="79"/>
      <c r="P41" s="79"/>
      <c r="Q41" s="79"/>
      <c r="R41" s="79"/>
      <c r="S41" s="79"/>
      <c r="T41" s="79"/>
      <c r="U41" s="79"/>
      <c r="V41" s="81">
        <f t="shared" si="1"/>
        <v>0</v>
      </c>
      <c r="W41" s="77" t="str">
        <f>IF(COUNTBLANK(C41:U41)&gt;0,"Complete todas las preguntas",IF(R41="SI",'Base corrupción'!$C$2,IF(V41&lt;6,'Base corrupción'!$C$4,IF(AND(V41&gt;5,V41&lt;12),'Base corrupción'!$C$3,IF(AND(V41&gt;11,V41&lt;20),'Base corrupción'!$C$2,"Revisar fórmula")))))</f>
        <v>Complete todas las preguntas</v>
      </c>
    </row>
    <row r="42" spans="1:23" ht="22.5" x14ac:dyDescent="0.2">
      <c r="A42" s="79"/>
      <c r="B42" s="80"/>
      <c r="C42" s="79"/>
      <c r="D42" s="79"/>
      <c r="E42" s="79"/>
      <c r="F42" s="79"/>
      <c r="G42" s="79"/>
      <c r="H42" s="79"/>
      <c r="I42" s="79"/>
      <c r="J42" s="79"/>
      <c r="K42" s="79"/>
      <c r="L42" s="79"/>
      <c r="M42" s="79"/>
      <c r="N42" s="79"/>
      <c r="O42" s="79"/>
      <c r="P42" s="79"/>
      <c r="Q42" s="79"/>
      <c r="R42" s="79"/>
      <c r="S42" s="79"/>
      <c r="T42" s="79"/>
      <c r="U42" s="79"/>
      <c r="V42" s="81">
        <f t="shared" si="1"/>
        <v>0</v>
      </c>
      <c r="W42" s="77" t="str">
        <f>IF(COUNTBLANK(C42:U42)&gt;0,"Complete todas las preguntas",IF(R42="SI",'Base corrupción'!$C$2,IF(V42&lt;6,'Base corrupción'!$C$4,IF(AND(V42&gt;5,V42&lt;12),'Base corrupción'!$C$3,IF(AND(V42&gt;11,V42&lt;20),'Base corrupción'!$C$2,"Revisar fórmula")))))</f>
        <v>Complete todas las preguntas</v>
      </c>
    </row>
    <row r="43" spans="1:23" x14ac:dyDescent="0.2">
      <c r="C43" s="82"/>
      <c r="D43" s="82"/>
      <c r="E43" s="82"/>
      <c r="F43" s="82"/>
      <c r="G43" s="82"/>
      <c r="H43" s="82"/>
      <c r="I43" s="82"/>
      <c r="J43" s="82"/>
      <c r="K43" s="82"/>
      <c r="L43" s="82"/>
      <c r="M43" s="82"/>
      <c r="N43" s="82"/>
      <c r="O43" s="82"/>
      <c r="P43" s="82"/>
      <c r="Q43" s="82"/>
      <c r="R43" s="82"/>
      <c r="S43" s="82"/>
      <c r="T43" s="82"/>
      <c r="U43" s="82"/>
    </row>
    <row r="44" spans="1:23" x14ac:dyDescent="0.2">
      <c r="C44" s="82"/>
      <c r="D44" s="82"/>
      <c r="E44" s="82"/>
      <c r="F44" s="82"/>
      <c r="G44" s="82"/>
      <c r="H44" s="82"/>
      <c r="I44" s="82"/>
      <c r="J44" s="82"/>
      <c r="K44" s="82"/>
      <c r="L44" s="82"/>
      <c r="M44" s="82"/>
      <c r="N44" s="82"/>
      <c r="O44" s="82"/>
      <c r="P44" s="82"/>
      <c r="Q44" s="82"/>
      <c r="R44" s="82"/>
      <c r="S44" s="82"/>
      <c r="T44" s="82"/>
      <c r="U44" s="82"/>
    </row>
    <row r="45" spans="1:23" x14ac:dyDescent="0.2">
      <c r="C45" s="82"/>
      <c r="D45" s="82"/>
      <c r="E45" s="82"/>
      <c r="F45" s="82"/>
      <c r="G45" s="82"/>
      <c r="H45" s="82"/>
      <c r="I45" s="82"/>
      <c r="J45" s="82"/>
      <c r="K45" s="82"/>
      <c r="L45" s="82"/>
      <c r="M45" s="82"/>
      <c r="N45" s="82"/>
      <c r="O45" s="82"/>
      <c r="P45" s="82"/>
      <c r="Q45" s="82"/>
      <c r="R45" s="82"/>
      <c r="S45" s="82"/>
      <c r="T45" s="82"/>
      <c r="U45" s="82"/>
    </row>
    <row r="46" spans="1:23" x14ac:dyDescent="0.2">
      <c r="C46" s="82"/>
      <c r="D46" s="82"/>
      <c r="E46" s="82"/>
      <c r="F46" s="82"/>
      <c r="G46" s="82"/>
      <c r="H46" s="82"/>
      <c r="I46" s="82"/>
      <c r="J46" s="82"/>
      <c r="K46" s="82"/>
      <c r="L46" s="82"/>
      <c r="M46" s="82"/>
      <c r="N46" s="82"/>
      <c r="O46" s="82"/>
      <c r="P46" s="82"/>
      <c r="Q46" s="82"/>
      <c r="R46" s="82"/>
      <c r="S46" s="82"/>
      <c r="T46" s="82"/>
      <c r="U46" s="82"/>
    </row>
    <row r="47" spans="1:23" x14ac:dyDescent="0.2">
      <c r="C47" s="82"/>
      <c r="D47" s="82"/>
      <c r="E47" s="82"/>
      <c r="F47" s="82"/>
      <c r="G47" s="82"/>
      <c r="H47" s="82"/>
      <c r="I47" s="82"/>
      <c r="J47" s="82"/>
      <c r="K47" s="82"/>
      <c r="L47" s="82"/>
      <c r="M47" s="82"/>
      <c r="N47" s="82"/>
      <c r="O47" s="82"/>
      <c r="P47" s="82"/>
      <c r="Q47" s="82"/>
      <c r="R47" s="82"/>
      <c r="S47" s="82"/>
      <c r="T47" s="82"/>
      <c r="U47" s="82"/>
    </row>
    <row r="48" spans="1:23" x14ac:dyDescent="0.2">
      <c r="C48" s="82"/>
      <c r="D48" s="82"/>
      <c r="E48" s="82"/>
      <c r="F48" s="82"/>
      <c r="G48" s="82"/>
      <c r="H48" s="82"/>
      <c r="I48" s="82"/>
      <c r="J48" s="82"/>
      <c r="K48" s="82"/>
      <c r="L48" s="82"/>
      <c r="M48" s="82"/>
      <c r="N48" s="82"/>
      <c r="O48" s="82"/>
      <c r="P48" s="82"/>
      <c r="Q48" s="82"/>
      <c r="R48" s="82"/>
      <c r="S48" s="82"/>
      <c r="T48" s="82"/>
      <c r="U48" s="82"/>
    </row>
    <row r="49" spans="3:21" x14ac:dyDescent="0.2">
      <c r="C49" s="82"/>
      <c r="D49" s="82"/>
      <c r="E49" s="82"/>
      <c r="F49" s="82"/>
      <c r="G49" s="82"/>
      <c r="H49" s="82"/>
      <c r="I49" s="82"/>
      <c r="J49" s="82"/>
      <c r="K49" s="82"/>
      <c r="L49" s="82"/>
      <c r="M49" s="82"/>
      <c r="N49" s="82"/>
      <c r="O49" s="82"/>
      <c r="P49" s="82"/>
      <c r="Q49" s="82"/>
      <c r="R49" s="82"/>
      <c r="S49" s="82"/>
      <c r="T49" s="82"/>
      <c r="U49" s="82"/>
    </row>
    <row r="50" spans="3:21" x14ac:dyDescent="0.2">
      <c r="C50" s="82"/>
      <c r="D50" s="82"/>
      <c r="E50" s="82"/>
      <c r="F50" s="82"/>
      <c r="G50" s="82"/>
      <c r="H50" s="82"/>
      <c r="I50" s="82"/>
      <c r="J50" s="82"/>
      <c r="K50" s="82"/>
      <c r="L50" s="82"/>
      <c r="M50" s="82"/>
      <c r="N50" s="82"/>
      <c r="O50" s="82"/>
      <c r="P50" s="82"/>
      <c r="Q50" s="82"/>
      <c r="R50" s="82"/>
      <c r="S50" s="82"/>
      <c r="T50" s="82"/>
      <c r="U50" s="82"/>
    </row>
    <row r="51" spans="3:21" x14ac:dyDescent="0.2">
      <c r="C51" s="82"/>
      <c r="D51" s="82"/>
      <c r="E51" s="82"/>
      <c r="F51" s="82"/>
      <c r="G51" s="82"/>
      <c r="H51" s="82"/>
      <c r="I51" s="82"/>
      <c r="J51" s="82"/>
      <c r="K51" s="82"/>
      <c r="L51" s="82"/>
      <c r="M51" s="82"/>
      <c r="N51" s="82"/>
      <c r="O51" s="82"/>
      <c r="P51" s="82"/>
      <c r="Q51" s="82"/>
      <c r="R51" s="82"/>
      <c r="S51" s="82"/>
      <c r="T51" s="82"/>
      <c r="U51" s="82"/>
    </row>
    <row r="52" spans="3:21" x14ac:dyDescent="0.2">
      <c r="C52" s="82"/>
      <c r="D52" s="82"/>
      <c r="E52" s="82"/>
      <c r="F52" s="82"/>
      <c r="G52" s="82"/>
      <c r="H52" s="82"/>
      <c r="I52" s="82"/>
      <c r="J52" s="82"/>
      <c r="K52" s="82"/>
      <c r="L52" s="82"/>
      <c r="M52" s="82"/>
      <c r="N52" s="82"/>
      <c r="O52" s="82"/>
      <c r="P52" s="82"/>
      <c r="Q52" s="82"/>
      <c r="R52" s="82"/>
      <c r="S52" s="82"/>
      <c r="T52" s="82"/>
      <c r="U52" s="82"/>
    </row>
    <row r="53" spans="3:21" x14ac:dyDescent="0.2">
      <c r="C53" s="82"/>
      <c r="D53" s="82"/>
      <c r="E53" s="82"/>
      <c r="F53" s="82"/>
      <c r="G53" s="82"/>
      <c r="H53" s="82"/>
      <c r="I53" s="82"/>
      <c r="J53" s="82"/>
      <c r="K53" s="82"/>
      <c r="L53" s="82"/>
      <c r="M53" s="82"/>
      <c r="N53" s="82"/>
      <c r="O53" s="82"/>
      <c r="P53" s="82"/>
      <c r="Q53" s="82"/>
      <c r="R53" s="82"/>
      <c r="S53" s="82"/>
      <c r="T53" s="82"/>
      <c r="U53" s="82"/>
    </row>
    <row r="54" spans="3:21" x14ac:dyDescent="0.2">
      <c r="C54" s="82"/>
      <c r="D54" s="82"/>
      <c r="E54" s="82"/>
      <c r="F54" s="82"/>
      <c r="G54" s="82"/>
      <c r="H54" s="82"/>
      <c r="I54" s="82"/>
      <c r="J54" s="82"/>
      <c r="K54" s="82"/>
      <c r="L54" s="82"/>
      <c r="M54" s="82"/>
      <c r="N54" s="82"/>
      <c r="O54" s="82"/>
      <c r="P54" s="82"/>
      <c r="Q54" s="82"/>
      <c r="R54" s="82"/>
      <c r="S54" s="82"/>
      <c r="T54" s="82"/>
      <c r="U54" s="82"/>
    </row>
    <row r="55" spans="3:21" x14ac:dyDescent="0.2">
      <c r="C55" s="82"/>
      <c r="D55" s="82"/>
      <c r="E55" s="82"/>
      <c r="F55" s="82"/>
      <c r="G55" s="82"/>
      <c r="H55" s="82"/>
      <c r="I55" s="82"/>
      <c r="J55" s="82"/>
      <c r="K55" s="82"/>
      <c r="L55" s="82"/>
      <c r="M55" s="82"/>
      <c r="N55" s="82"/>
      <c r="O55" s="82"/>
      <c r="P55" s="82"/>
      <c r="Q55" s="82"/>
      <c r="R55" s="82"/>
      <c r="S55" s="82"/>
      <c r="T55" s="82"/>
      <c r="U55" s="82"/>
    </row>
    <row r="56" spans="3:21" x14ac:dyDescent="0.2">
      <c r="C56" s="82"/>
      <c r="D56" s="82"/>
      <c r="E56" s="82"/>
      <c r="F56" s="82"/>
      <c r="G56" s="82"/>
      <c r="H56" s="82"/>
      <c r="I56" s="82"/>
      <c r="J56" s="82"/>
      <c r="K56" s="82"/>
      <c r="L56" s="82"/>
      <c r="M56" s="82"/>
      <c r="N56" s="82"/>
      <c r="O56" s="82"/>
      <c r="P56" s="82"/>
      <c r="Q56" s="82"/>
      <c r="R56" s="82"/>
      <c r="S56" s="82"/>
      <c r="T56" s="82"/>
      <c r="U56" s="82"/>
    </row>
    <row r="57" spans="3:21" x14ac:dyDescent="0.2">
      <c r="C57" s="82"/>
      <c r="D57" s="82"/>
      <c r="E57" s="82"/>
      <c r="F57" s="82"/>
      <c r="G57" s="82"/>
      <c r="H57" s="82"/>
      <c r="I57" s="82"/>
      <c r="J57" s="82"/>
      <c r="K57" s="82"/>
      <c r="L57" s="82"/>
      <c r="M57" s="82"/>
      <c r="N57" s="82"/>
      <c r="O57" s="82"/>
      <c r="P57" s="82"/>
      <c r="Q57" s="82"/>
      <c r="R57" s="82"/>
      <c r="S57" s="82"/>
      <c r="T57" s="82"/>
      <c r="U57" s="82"/>
    </row>
    <row r="58" spans="3:21" x14ac:dyDescent="0.2">
      <c r="C58" s="82"/>
      <c r="D58" s="82"/>
      <c r="E58" s="82"/>
      <c r="F58" s="82"/>
      <c r="G58" s="82"/>
      <c r="H58" s="82"/>
      <c r="I58" s="82"/>
      <c r="J58" s="82"/>
      <c r="K58" s="82"/>
      <c r="L58" s="82"/>
      <c r="M58" s="82"/>
      <c r="N58" s="82"/>
      <c r="O58" s="82"/>
      <c r="P58" s="82"/>
      <c r="Q58" s="82"/>
      <c r="R58" s="82"/>
      <c r="S58" s="82"/>
      <c r="T58" s="82"/>
      <c r="U58" s="82"/>
    </row>
    <row r="59" spans="3:21" x14ac:dyDescent="0.2">
      <c r="C59" s="82"/>
      <c r="D59" s="82"/>
      <c r="E59" s="82"/>
      <c r="F59" s="82"/>
      <c r="G59" s="82"/>
      <c r="H59" s="82"/>
      <c r="I59" s="82"/>
      <c r="J59" s="82"/>
      <c r="K59" s="82"/>
      <c r="L59" s="82"/>
      <c r="M59" s="82"/>
      <c r="N59" s="82"/>
      <c r="O59" s="82"/>
      <c r="P59" s="82"/>
      <c r="Q59" s="82"/>
      <c r="R59" s="82"/>
      <c r="S59" s="82"/>
      <c r="T59" s="82"/>
      <c r="U59" s="82"/>
    </row>
    <row r="60" spans="3:21" x14ac:dyDescent="0.2">
      <c r="C60" s="82"/>
      <c r="D60" s="82"/>
      <c r="E60" s="82"/>
      <c r="F60" s="82"/>
      <c r="G60" s="82"/>
      <c r="H60" s="82"/>
      <c r="I60" s="82"/>
      <c r="J60" s="82"/>
      <c r="K60" s="82"/>
      <c r="L60" s="82"/>
      <c r="M60" s="82"/>
      <c r="N60" s="82"/>
      <c r="O60" s="82"/>
      <c r="P60" s="82"/>
      <c r="Q60" s="82"/>
      <c r="R60" s="82"/>
      <c r="S60" s="82"/>
      <c r="T60" s="82"/>
      <c r="U60" s="82"/>
    </row>
    <row r="61" spans="3:21" x14ac:dyDescent="0.2">
      <c r="C61" s="82"/>
      <c r="D61" s="82"/>
      <c r="E61" s="82"/>
      <c r="F61" s="82"/>
      <c r="G61" s="82"/>
      <c r="H61" s="82"/>
      <c r="I61" s="82"/>
      <c r="J61" s="82"/>
      <c r="K61" s="82"/>
      <c r="L61" s="82"/>
      <c r="M61" s="82"/>
      <c r="N61" s="82"/>
      <c r="O61" s="82"/>
      <c r="P61" s="82"/>
      <c r="Q61" s="82"/>
      <c r="R61" s="82"/>
      <c r="S61" s="82"/>
      <c r="T61" s="82"/>
      <c r="U61" s="82"/>
    </row>
    <row r="62" spans="3:21" x14ac:dyDescent="0.2">
      <c r="C62" s="82"/>
      <c r="D62" s="82"/>
      <c r="E62" s="82"/>
      <c r="F62" s="82"/>
      <c r="G62" s="82"/>
      <c r="H62" s="82"/>
      <c r="I62" s="82"/>
      <c r="J62" s="82"/>
      <c r="K62" s="82"/>
      <c r="L62" s="82"/>
      <c r="M62" s="82"/>
      <c r="N62" s="82"/>
      <c r="O62" s="82"/>
      <c r="P62" s="82"/>
      <c r="Q62" s="82"/>
      <c r="R62" s="82"/>
      <c r="S62" s="82"/>
      <c r="T62" s="82"/>
      <c r="U62" s="82"/>
    </row>
    <row r="63" spans="3:21" x14ac:dyDescent="0.2">
      <c r="C63" s="82"/>
      <c r="D63" s="82"/>
      <c r="E63" s="82"/>
      <c r="F63" s="82"/>
      <c r="G63" s="82"/>
      <c r="H63" s="82"/>
      <c r="I63" s="82"/>
      <c r="J63" s="82"/>
      <c r="K63" s="82"/>
      <c r="L63" s="82"/>
      <c r="M63" s="82"/>
      <c r="N63" s="82"/>
      <c r="O63" s="82"/>
      <c r="P63" s="82"/>
      <c r="Q63" s="82"/>
      <c r="R63" s="82"/>
      <c r="S63" s="82"/>
      <c r="T63" s="82"/>
      <c r="U63" s="82"/>
    </row>
    <row r="64" spans="3:21" x14ac:dyDescent="0.2">
      <c r="C64" s="82"/>
      <c r="D64" s="82"/>
      <c r="E64" s="82"/>
      <c r="F64" s="82"/>
      <c r="G64" s="82"/>
      <c r="H64" s="82"/>
      <c r="I64" s="82"/>
      <c r="J64" s="82"/>
      <c r="K64" s="82"/>
      <c r="L64" s="82"/>
      <c r="M64" s="82"/>
      <c r="N64" s="82"/>
      <c r="O64" s="82"/>
      <c r="P64" s="82"/>
      <c r="Q64" s="82"/>
      <c r="R64" s="82"/>
      <c r="S64" s="82"/>
      <c r="T64" s="82"/>
      <c r="U64" s="82"/>
    </row>
    <row r="65" spans="3:21" x14ac:dyDescent="0.2">
      <c r="C65" s="82"/>
      <c r="D65" s="82"/>
      <c r="E65" s="82"/>
      <c r="F65" s="82"/>
      <c r="G65" s="82"/>
      <c r="H65" s="82"/>
      <c r="I65" s="82"/>
      <c r="J65" s="82"/>
      <c r="K65" s="82"/>
      <c r="L65" s="82"/>
      <c r="M65" s="82"/>
      <c r="N65" s="82"/>
      <c r="O65" s="82"/>
      <c r="P65" s="82"/>
      <c r="Q65" s="82"/>
      <c r="R65" s="82"/>
      <c r="S65" s="82"/>
      <c r="T65" s="82"/>
      <c r="U65" s="82"/>
    </row>
    <row r="66" spans="3:21" x14ac:dyDescent="0.2">
      <c r="C66" s="82"/>
      <c r="D66" s="82"/>
      <c r="E66" s="82"/>
      <c r="F66" s="82"/>
      <c r="G66" s="82"/>
      <c r="H66" s="82"/>
      <c r="I66" s="82"/>
      <c r="J66" s="82"/>
      <c r="K66" s="82"/>
      <c r="L66" s="82"/>
      <c r="M66" s="82"/>
      <c r="N66" s="82"/>
      <c r="O66" s="82"/>
      <c r="P66" s="82"/>
      <c r="Q66" s="82"/>
      <c r="R66" s="82"/>
      <c r="S66" s="82"/>
      <c r="T66" s="82"/>
      <c r="U66" s="82"/>
    </row>
    <row r="67" spans="3:21" x14ac:dyDescent="0.2">
      <c r="C67" s="82"/>
      <c r="D67" s="82"/>
      <c r="E67" s="82"/>
      <c r="F67" s="82"/>
      <c r="G67" s="82"/>
      <c r="H67" s="82"/>
      <c r="I67" s="82"/>
      <c r="J67" s="82"/>
      <c r="K67" s="82"/>
      <c r="L67" s="82"/>
      <c r="M67" s="82"/>
      <c r="N67" s="82"/>
      <c r="O67" s="82"/>
      <c r="P67" s="82"/>
      <c r="Q67" s="82"/>
      <c r="R67" s="82"/>
      <c r="S67" s="82"/>
      <c r="T67" s="82"/>
      <c r="U67" s="82"/>
    </row>
    <row r="68" spans="3:21" x14ac:dyDescent="0.2">
      <c r="C68" s="82"/>
      <c r="D68" s="82"/>
      <c r="E68" s="82"/>
      <c r="F68" s="82"/>
      <c r="G68" s="82"/>
      <c r="H68" s="82"/>
      <c r="I68" s="82"/>
      <c r="J68" s="82"/>
      <c r="K68" s="82"/>
      <c r="L68" s="82"/>
      <c r="M68" s="82"/>
      <c r="N68" s="82"/>
      <c r="O68" s="82"/>
      <c r="P68" s="82"/>
      <c r="Q68" s="82"/>
      <c r="R68" s="82"/>
      <c r="S68" s="82"/>
      <c r="T68" s="82"/>
      <c r="U68" s="82"/>
    </row>
    <row r="69" spans="3:21" x14ac:dyDescent="0.2">
      <c r="C69" s="82"/>
      <c r="D69" s="82"/>
      <c r="E69" s="82"/>
      <c r="F69" s="82"/>
      <c r="G69" s="82"/>
      <c r="H69" s="82"/>
      <c r="I69" s="82"/>
      <c r="J69" s="82"/>
      <c r="K69" s="82"/>
      <c r="L69" s="82"/>
      <c r="M69" s="82"/>
      <c r="N69" s="82"/>
      <c r="O69" s="82"/>
      <c r="P69" s="82"/>
      <c r="Q69" s="82"/>
      <c r="R69" s="82"/>
      <c r="S69" s="82"/>
      <c r="T69" s="82"/>
      <c r="U69" s="82"/>
    </row>
    <row r="70" spans="3:21" x14ac:dyDescent="0.2">
      <c r="C70" s="82"/>
      <c r="D70" s="82"/>
      <c r="E70" s="82"/>
      <c r="F70" s="82"/>
      <c r="G70" s="82"/>
      <c r="H70" s="82"/>
      <c r="I70" s="82"/>
      <c r="J70" s="82"/>
      <c r="K70" s="82"/>
      <c r="L70" s="82"/>
      <c r="M70" s="82"/>
      <c r="N70" s="82"/>
      <c r="O70" s="82"/>
      <c r="P70" s="82"/>
      <c r="Q70" s="82"/>
      <c r="R70" s="82"/>
      <c r="S70" s="82"/>
      <c r="T70" s="82"/>
      <c r="U70" s="82"/>
    </row>
    <row r="71" spans="3:21" x14ac:dyDescent="0.2">
      <c r="C71" s="82"/>
      <c r="D71" s="82"/>
      <c r="E71" s="82"/>
      <c r="F71" s="82"/>
      <c r="G71" s="82"/>
      <c r="H71" s="82"/>
      <c r="I71" s="82"/>
      <c r="J71" s="82"/>
      <c r="K71" s="82"/>
      <c r="L71" s="82"/>
      <c r="M71" s="82"/>
      <c r="N71" s="82"/>
      <c r="O71" s="82"/>
      <c r="P71" s="82"/>
      <c r="Q71" s="82"/>
      <c r="R71" s="82"/>
      <c r="S71" s="82"/>
      <c r="T71" s="82"/>
      <c r="U71" s="82"/>
    </row>
    <row r="72" spans="3:21" x14ac:dyDescent="0.2">
      <c r="C72" s="82"/>
      <c r="D72" s="82"/>
      <c r="E72" s="82"/>
      <c r="F72" s="82"/>
      <c r="G72" s="82"/>
      <c r="H72" s="82"/>
      <c r="I72" s="82"/>
      <c r="J72" s="82"/>
      <c r="K72" s="82"/>
      <c r="L72" s="82"/>
      <c r="M72" s="82"/>
      <c r="N72" s="82"/>
      <c r="O72" s="82"/>
      <c r="P72" s="82"/>
      <c r="Q72" s="82"/>
      <c r="R72" s="82"/>
      <c r="S72" s="82"/>
      <c r="T72" s="82"/>
      <c r="U72" s="82"/>
    </row>
    <row r="73" spans="3:21" x14ac:dyDescent="0.2">
      <c r="C73" s="82"/>
      <c r="D73" s="82"/>
      <c r="E73" s="82"/>
      <c r="F73" s="82"/>
      <c r="G73" s="82"/>
      <c r="H73" s="82"/>
      <c r="I73" s="82"/>
      <c r="J73" s="82"/>
      <c r="K73" s="82"/>
      <c r="L73" s="82"/>
      <c r="M73" s="82"/>
      <c r="N73" s="82"/>
      <c r="O73" s="82"/>
      <c r="P73" s="82"/>
      <c r="Q73" s="82"/>
      <c r="R73" s="82"/>
      <c r="S73" s="82"/>
      <c r="T73" s="82"/>
      <c r="U73" s="82"/>
    </row>
    <row r="74" spans="3:21" x14ac:dyDescent="0.2">
      <c r="C74" s="82"/>
      <c r="D74" s="82"/>
      <c r="E74" s="82"/>
      <c r="F74" s="82"/>
      <c r="G74" s="82"/>
      <c r="H74" s="82"/>
      <c r="I74" s="82"/>
      <c r="J74" s="82"/>
      <c r="K74" s="82"/>
      <c r="L74" s="82"/>
      <c r="M74" s="82"/>
      <c r="N74" s="82"/>
      <c r="O74" s="82"/>
      <c r="P74" s="82"/>
      <c r="Q74" s="82"/>
      <c r="R74" s="82"/>
      <c r="S74" s="82"/>
      <c r="T74" s="82"/>
      <c r="U74" s="82"/>
    </row>
    <row r="75" spans="3:21" x14ac:dyDescent="0.2">
      <c r="C75" s="82"/>
      <c r="D75" s="82"/>
      <c r="E75" s="82"/>
      <c r="F75" s="82"/>
      <c r="G75" s="82"/>
      <c r="H75" s="82"/>
      <c r="I75" s="82"/>
      <c r="J75" s="82"/>
      <c r="K75" s="82"/>
      <c r="L75" s="82"/>
      <c r="M75" s="82"/>
      <c r="N75" s="82"/>
      <c r="O75" s="82"/>
      <c r="P75" s="82"/>
      <c r="Q75" s="82"/>
      <c r="R75" s="82"/>
      <c r="S75" s="82"/>
      <c r="T75" s="82"/>
      <c r="U75" s="82"/>
    </row>
    <row r="76" spans="3:21" x14ac:dyDescent="0.2">
      <c r="C76" s="82"/>
      <c r="D76" s="82"/>
      <c r="E76" s="82"/>
      <c r="F76" s="82"/>
      <c r="G76" s="82"/>
      <c r="H76" s="82"/>
      <c r="I76" s="82"/>
      <c r="J76" s="82"/>
      <c r="K76" s="82"/>
      <c r="L76" s="82"/>
      <c r="M76" s="82"/>
      <c r="N76" s="82"/>
      <c r="O76" s="82"/>
      <c r="P76" s="82"/>
      <c r="Q76" s="82"/>
      <c r="R76" s="82"/>
      <c r="S76" s="82"/>
      <c r="T76" s="82"/>
      <c r="U76" s="82"/>
    </row>
    <row r="77" spans="3:21" x14ac:dyDescent="0.2">
      <c r="C77" s="82"/>
      <c r="D77" s="82"/>
      <c r="E77" s="82"/>
      <c r="F77" s="82"/>
      <c r="G77" s="82"/>
      <c r="H77" s="82"/>
      <c r="I77" s="82"/>
      <c r="J77" s="82"/>
      <c r="K77" s="82"/>
      <c r="L77" s="82"/>
      <c r="M77" s="82"/>
      <c r="N77" s="82"/>
      <c r="O77" s="82"/>
      <c r="P77" s="82"/>
      <c r="Q77" s="82"/>
      <c r="R77" s="82"/>
      <c r="S77" s="82"/>
      <c r="T77" s="82"/>
      <c r="U77" s="82"/>
    </row>
    <row r="78" spans="3:21" x14ac:dyDescent="0.2">
      <c r="C78" s="82"/>
      <c r="D78" s="82"/>
      <c r="E78" s="82"/>
      <c r="F78" s="82"/>
      <c r="G78" s="82"/>
      <c r="H78" s="82"/>
      <c r="I78" s="82"/>
      <c r="J78" s="82"/>
      <c r="K78" s="82"/>
      <c r="L78" s="82"/>
      <c r="M78" s="82"/>
      <c r="N78" s="82"/>
      <c r="O78" s="82"/>
      <c r="P78" s="82"/>
      <c r="Q78" s="82"/>
      <c r="R78" s="82"/>
      <c r="S78" s="82"/>
      <c r="T78" s="82"/>
      <c r="U78" s="82"/>
    </row>
    <row r="79" spans="3:21" x14ac:dyDescent="0.2">
      <c r="C79" s="82"/>
      <c r="D79" s="82"/>
      <c r="E79" s="82"/>
      <c r="F79" s="82"/>
      <c r="G79" s="82"/>
      <c r="H79" s="82"/>
      <c r="I79" s="82"/>
      <c r="J79" s="82"/>
      <c r="K79" s="82"/>
      <c r="L79" s="82"/>
      <c r="M79" s="82"/>
      <c r="N79" s="82"/>
      <c r="O79" s="82"/>
      <c r="P79" s="82"/>
      <c r="Q79" s="82"/>
      <c r="R79" s="82"/>
      <c r="S79" s="82"/>
      <c r="T79" s="82"/>
      <c r="U79" s="82"/>
    </row>
    <row r="80" spans="3:21" x14ac:dyDescent="0.2">
      <c r="C80" s="82"/>
      <c r="D80" s="82"/>
      <c r="E80" s="82"/>
      <c r="F80" s="82"/>
      <c r="G80" s="82"/>
      <c r="H80" s="82"/>
      <c r="I80" s="82"/>
      <c r="J80" s="82"/>
      <c r="K80" s="82"/>
      <c r="L80" s="82"/>
      <c r="M80" s="82"/>
      <c r="N80" s="82"/>
      <c r="O80" s="82"/>
      <c r="P80" s="82"/>
      <c r="Q80" s="82"/>
      <c r="R80" s="82"/>
      <c r="S80" s="82"/>
      <c r="T80" s="82"/>
      <c r="U80" s="82"/>
    </row>
    <row r="81" spans="3:21" x14ac:dyDescent="0.2">
      <c r="C81" s="82"/>
      <c r="D81" s="82"/>
      <c r="E81" s="82"/>
      <c r="F81" s="82"/>
      <c r="G81" s="82"/>
      <c r="H81" s="82"/>
      <c r="I81" s="82"/>
      <c r="J81" s="82"/>
      <c r="K81" s="82"/>
      <c r="L81" s="82"/>
      <c r="M81" s="82"/>
      <c r="N81" s="82"/>
      <c r="O81" s="82"/>
      <c r="P81" s="82"/>
      <c r="Q81" s="82"/>
      <c r="R81" s="82"/>
      <c r="S81" s="82"/>
      <c r="T81" s="82"/>
      <c r="U81" s="82"/>
    </row>
    <row r="82" spans="3:21" x14ac:dyDescent="0.2">
      <c r="C82" s="82"/>
      <c r="D82" s="82"/>
      <c r="E82" s="82"/>
      <c r="F82" s="82"/>
      <c r="G82" s="82"/>
      <c r="H82" s="82"/>
      <c r="I82" s="82"/>
      <c r="J82" s="82"/>
      <c r="K82" s="82"/>
      <c r="L82" s="82"/>
      <c r="M82" s="82"/>
      <c r="N82" s="82"/>
      <c r="O82" s="82"/>
      <c r="P82" s="82"/>
      <c r="Q82" s="82"/>
      <c r="R82" s="82"/>
      <c r="S82" s="82"/>
      <c r="T82" s="82"/>
      <c r="U82" s="82"/>
    </row>
    <row r="83" spans="3:21" x14ac:dyDescent="0.2">
      <c r="C83" s="82"/>
      <c r="D83" s="82"/>
      <c r="E83" s="82"/>
      <c r="F83" s="82"/>
      <c r="G83" s="82"/>
      <c r="H83" s="82"/>
      <c r="I83" s="82"/>
      <c r="J83" s="82"/>
      <c r="K83" s="82"/>
      <c r="L83" s="82"/>
      <c r="M83" s="82"/>
      <c r="N83" s="82"/>
      <c r="O83" s="82"/>
      <c r="P83" s="82"/>
      <c r="Q83" s="82"/>
      <c r="R83" s="82"/>
      <c r="S83" s="82"/>
      <c r="T83" s="82"/>
      <c r="U83" s="82"/>
    </row>
    <row r="84" spans="3:21" x14ac:dyDescent="0.2">
      <c r="C84" s="82"/>
      <c r="D84" s="82"/>
      <c r="E84" s="82"/>
      <c r="F84" s="82"/>
      <c r="G84" s="82"/>
      <c r="H84" s="82"/>
      <c r="I84" s="82"/>
      <c r="J84" s="82"/>
      <c r="K84" s="82"/>
      <c r="L84" s="82"/>
      <c r="M84" s="82"/>
      <c r="N84" s="82"/>
      <c r="O84" s="82"/>
      <c r="P84" s="82"/>
      <c r="Q84" s="82"/>
      <c r="R84" s="82"/>
      <c r="S84" s="82"/>
      <c r="T84" s="82"/>
      <c r="U84" s="82"/>
    </row>
    <row r="85" spans="3:21" x14ac:dyDescent="0.2">
      <c r="C85" s="82"/>
      <c r="D85" s="82"/>
      <c r="E85" s="82"/>
      <c r="F85" s="82"/>
      <c r="G85" s="82"/>
      <c r="H85" s="82"/>
      <c r="I85" s="82"/>
      <c r="J85" s="82"/>
      <c r="K85" s="82"/>
      <c r="L85" s="82"/>
      <c r="M85" s="82"/>
      <c r="N85" s="82"/>
      <c r="O85" s="82"/>
      <c r="P85" s="82"/>
      <c r="Q85" s="82"/>
      <c r="R85" s="82"/>
      <c r="S85" s="82"/>
      <c r="T85" s="82"/>
      <c r="U85" s="82"/>
    </row>
    <row r="86" spans="3:21" x14ac:dyDescent="0.2">
      <c r="C86" s="82"/>
      <c r="D86" s="82"/>
      <c r="E86" s="82"/>
      <c r="F86" s="82"/>
      <c r="G86" s="82"/>
      <c r="H86" s="82"/>
      <c r="I86" s="82"/>
      <c r="J86" s="82"/>
      <c r="K86" s="82"/>
      <c r="L86" s="82"/>
      <c r="M86" s="82"/>
      <c r="N86" s="82"/>
      <c r="O86" s="82"/>
      <c r="P86" s="82"/>
      <c r="Q86" s="82"/>
      <c r="R86" s="82"/>
      <c r="S86" s="82"/>
      <c r="T86" s="82"/>
      <c r="U86" s="82"/>
    </row>
    <row r="87" spans="3:21" x14ac:dyDescent="0.2">
      <c r="C87" s="82"/>
      <c r="D87" s="82"/>
      <c r="E87" s="82"/>
      <c r="F87" s="82"/>
      <c r="G87" s="82"/>
      <c r="H87" s="82"/>
      <c r="I87" s="82"/>
      <c r="J87" s="82"/>
      <c r="K87" s="82"/>
      <c r="L87" s="82"/>
      <c r="M87" s="82"/>
      <c r="N87" s="82"/>
      <c r="O87" s="82"/>
      <c r="P87" s="82"/>
      <c r="Q87" s="82"/>
      <c r="R87" s="82"/>
      <c r="S87" s="82"/>
      <c r="T87" s="82"/>
      <c r="U87" s="82"/>
    </row>
    <row r="88" spans="3:21" x14ac:dyDescent="0.2">
      <c r="C88" s="82"/>
      <c r="D88" s="82"/>
      <c r="E88" s="82"/>
      <c r="F88" s="82"/>
      <c r="G88" s="82"/>
      <c r="H88" s="82"/>
      <c r="I88" s="82"/>
      <c r="J88" s="82"/>
      <c r="K88" s="82"/>
      <c r="L88" s="82"/>
      <c r="M88" s="82"/>
      <c r="N88" s="82"/>
      <c r="O88" s="82"/>
      <c r="P88" s="82"/>
      <c r="Q88" s="82"/>
      <c r="R88" s="82"/>
      <c r="S88" s="82"/>
      <c r="T88" s="82"/>
      <c r="U88" s="82"/>
    </row>
    <row r="89" spans="3:21" x14ac:dyDescent="0.2">
      <c r="C89" s="82"/>
      <c r="D89" s="82"/>
      <c r="E89" s="82"/>
      <c r="F89" s="82"/>
      <c r="G89" s="82"/>
      <c r="H89" s="82"/>
      <c r="I89" s="82"/>
      <c r="J89" s="82"/>
      <c r="K89" s="82"/>
      <c r="L89" s="82"/>
      <c r="M89" s="82"/>
      <c r="N89" s="82"/>
      <c r="O89" s="82"/>
      <c r="P89" s="82"/>
      <c r="Q89" s="82"/>
      <c r="R89" s="82"/>
      <c r="S89" s="82"/>
      <c r="T89" s="82"/>
      <c r="U89" s="82"/>
    </row>
    <row r="90" spans="3:21" x14ac:dyDescent="0.2">
      <c r="C90" s="82"/>
      <c r="D90" s="82"/>
      <c r="E90" s="82"/>
      <c r="F90" s="82"/>
      <c r="G90" s="82"/>
      <c r="H90" s="82"/>
      <c r="I90" s="82"/>
      <c r="J90" s="82"/>
      <c r="K90" s="82"/>
      <c r="L90" s="82"/>
      <c r="M90" s="82"/>
      <c r="N90" s="82"/>
      <c r="O90" s="82"/>
      <c r="P90" s="82"/>
      <c r="Q90" s="82"/>
      <c r="R90" s="82"/>
      <c r="S90" s="82"/>
      <c r="T90" s="82"/>
      <c r="U90" s="82"/>
    </row>
    <row r="91" spans="3:21" x14ac:dyDescent="0.2">
      <c r="C91" s="82"/>
      <c r="D91" s="82"/>
      <c r="E91" s="82"/>
      <c r="F91" s="82"/>
      <c r="G91" s="82"/>
      <c r="H91" s="82"/>
      <c r="I91" s="82"/>
      <c r="J91" s="82"/>
      <c r="K91" s="82"/>
      <c r="L91" s="82"/>
      <c r="M91" s="82"/>
      <c r="N91" s="82"/>
      <c r="O91" s="82"/>
      <c r="P91" s="82"/>
      <c r="Q91" s="82"/>
      <c r="R91" s="82"/>
      <c r="S91" s="82"/>
      <c r="T91" s="82"/>
      <c r="U91" s="82"/>
    </row>
    <row r="92" spans="3:21" x14ac:dyDescent="0.2">
      <c r="C92" s="82"/>
      <c r="D92" s="82"/>
      <c r="E92" s="82"/>
      <c r="F92" s="82"/>
      <c r="G92" s="82"/>
      <c r="H92" s="82"/>
      <c r="I92" s="82"/>
      <c r="J92" s="82"/>
      <c r="K92" s="82"/>
      <c r="L92" s="82"/>
      <c r="M92" s="82"/>
      <c r="N92" s="82"/>
      <c r="O92" s="82"/>
      <c r="P92" s="82"/>
      <c r="Q92" s="82"/>
      <c r="R92" s="82"/>
      <c r="S92" s="82"/>
      <c r="T92" s="82"/>
      <c r="U92" s="82"/>
    </row>
    <row r="93" spans="3:21" x14ac:dyDescent="0.2">
      <c r="C93" s="82"/>
      <c r="D93" s="82"/>
      <c r="E93" s="82"/>
      <c r="F93" s="82"/>
      <c r="G93" s="82"/>
      <c r="H93" s="82"/>
      <c r="I93" s="82"/>
      <c r="J93" s="82"/>
      <c r="K93" s="82"/>
      <c r="L93" s="82"/>
      <c r="M93" s="82"/>
      <c r="N93" s="82"/>
      <c r="O93" s="82"/>
      <c r="P93" s="82"/>
      <c r="Q93" s="82"/>
      <c r="R93" s="82"/>
      <c r="S93" s="82"/>
      <c r="T93" s="82"/>
      <c r="U93" s="82"/>
    </row>
    <row r="94" spans="3:21" x14ac:dyDescent="0.2">
      <c r="C94" s="82"/>
      <c r="D94" s="82"/>
      <c r="E94" s="82"/>
      <c r="F94" s="82"/>
      <c r="G94" s="82"/>
      <c r="H94" s="82"/>
      <c r="I94" s="82"/>
      <c r="J94" s="82"/>
      <c r="K94" s="82"/>
      <c r="L94" s="82"/>
      <c r="M94" s="82"/>
      <c r="N94" s="82"/>
      <c r="O94" s="82"/>
      <c r="P94" s="82"/>
      <c r="Q94" s="82"/>
      <c r="R94" s="82"/>
      <c r="S94" s="82"/>
      <c r="T94" s="82"/>
      <c r="U94" s="82"/>
    </row>
    <row r="95" spans="3:21" x14ac:dyDescent="0.2">
      <c r="C95" s="82"/>
      <c r="D95" s="82"/>
      <c r="E95" s="82"/>
      <c r="F95" s="82"/>
      <c r="G95" s="82"/>
      <c r="H95" s="82"/>
      <c r="I95" s="82"/>
      <c r="J95" s="82"/>
      <c r="K95" s="82"/>
      <c r="L95" s="82"/>
      <c r="M95" s="82"/>
      <c r="N95" s="82"/>
      <c r="O95" s="82"/>
      <c r="P95" s="82"/>
      <c r="Q95" s="82"/>
      <c r="R95" s="82"/>
      <c r="S95" s="82"/>
      <c r="T95" s="82"/>
      <c r="U95" s="82"/>
    </row>
    <row r="96" spans="3:21" x14ac:dyDescent="0.2">
      <c r="C96" s="82"/>
      <c r="D96" s="82"/>
      <c r="E96" s="82"/>
      <c r="F96" s="82"/>
      <c r="G96" s="82"/>
      <c r="H96" s="82"/>
      <c r="I96" s="82"/>
      <c r="J96" s="82"/>
      <c r="K96" s="82"/>
      <c r="L96" s="82"/>
      <c r="M96" s="82"/>
      <c r="N96" s="82"/>
      <c r="O96" s="82"/>
      <c r="P96" s="82"/>
      <c r="Q96" s="82"/>
      <c r="R96" s="82"/>
      <c r="S96" s="82"/>
      <c r="T96" s="82"/>
      <c r="U96" s="82"/>
    </row>
    <row r="97" spans="3:21" x14ac:dyDescent="0.2">
      <c r="C97" s="82"/>
      <c r="D97" s="82"/>
      <c r="E97" s="82"/>
      <c r="F97" s="82"/>
      <c r="G97" s="82"/>
      <c r="H97" s="82"/>
      <c r="I97" s="82"/>
      <c r="J97" s="82"/>
      <c r="K97" s="82"/>
      <c r="L97" s="82"/>
      <c r="M97" s="82"/>
      <c r="N97" s="82"/>
      <c r="O97" s="82"/>
      <c r="P97" s="82"/>
      <c r="Q97" s="82"/>
      <c r="R97" s="82"/>
      <c r="S97" s="82"/>
      <c r="T97" s="82"/>
      <c r="U97" s="82"/>
    </row>
    <row r="98" spans="3:21" x14ac:dyDescent="0.2">
      <c r="C98" s="82"/>
      <c r="D98" s="82"/>
      <c r="E98" s="82"/>
      <c r="F98" s="82"/>
      <c r="G98" s="82"/>
      <c r="H98" s="82"/>
      <c r="I98" s="82"/>
      <c r="J98" s="82"/>
      <c r="K98" s="82"/>
      <c r="L98" s="82"/>
      <c r="M98" s="82"/>
      <c r="N98" s="82"/>
      <c r="O98" s="82"/>
      <c r="P98" s="82"/>
      <c r="Q98" s="82"/>
      <c r="R98" s="82"/>
      <c r="S98" s="82"/>
      <c r="T98" s="82"/>
      <c r="U98" s="82"/>
    </row>
    <row r="99" spans="3:21" x14ac:dyDescent="0.2">
      <c r="C99" s="82"/>
      <c r="D99" s="82"/>
      <c r="E99" s="82"/>
      <c r="F99" s="82"/>
      <c r="G99" s="82"/>
      <c r="H99" s="82"/>
      <c r="I99" s="82"/>
      <c r="J99" s="82"/>
      <c r="K99" s="82"/>
      <c r="L99" s="82"/>
      <c r="M99" s="82"/>
      <c r="N99" s="82"/>
      <c r="O99" s="82"/>
      <c r="P99" s="82"/>
      <c r="Q99" s="82"/>
      <c r="R99" s="82"/>
      <c r="S99" s="82"/>
      <c r="T99" s="82"/>
      <c r="U99" s="82"/>
    </row>
    <row r="100" spans="3:21" x14ac:dyDescent="0.2">
      <c r="C100" s="82"/>
      <c r="D100" s="82"/>
      <c r="E100" s="82"/>
      <c r="F100" s="82"/>
      <c r="G100" s="82"/>
      <c r="H100" s="82"/>
      <c r="I100" s="82"/>
      <c r="J100" s="82"/>
      <c r="K100" s="82"/>
      <c r="L100" s="82"/>
      <c r="M100" s="82"/>
      <c r="N100" s="82"/>
      <c r="O100" s="82"/>
      <c r="P100" s="82"/>
      <c r="Q100" s="82"/>
      <c r="R100" s="82"/>
      <c r="S100" s="82"/>
      <c r="T100" s="82"/>
      <c r="U100" s="82"/>
    </row>
    <row r="101" spans="3:21" x14ac:dyDescent="0.2">
      <c r="C101" s="82"/>
      <c r="D101" s="82"/>
      <c r="E101" s="82"/>
      <c r="F101" s="82"/>
      <c r="G101" s="82"/>
      <c r="H101" s="82"/>
      <c r="I101" s="82"/>
      <c r="J101" s="82"/>
      <c r="K101" s="82"/>
      <c r="L101" s="82"/>
      <c r="M101" s="82"/>
      <c r="N101" s="82"/>
      <c r="O101" s="82"/>
      <c r="P101" s="82"/>
      <c r="Q101" s="82"/>
      <c r="R101" s="82"/>
      <c r="S101" s="82"/>
      <c r="T101" s="82"/>
      <c r="U101" s="82"/>
    </row>
    <row r="102" spans="3:21" x14ac:dyDescent="0.2">
      <c r="C102" s="82"/>
      <c r="D102" s="82"/>
      <c r="E102" s="82"/>
      <c r="F102" s="82"/>
      <c r="G102" s="82"/>
      <c r="H102" s="82"/>
      <c r="I102" s="82"/>
      <c r="J102" s="82"/>
      <c r="K102" s="82"/>
      <c r="L102" s="82"/>
      <c r="M102" s="82"/>
      <c r="N102" s="82"/>
      <c r="O102" s="82"/>
      <c r="P102" s="82"/>
      <c r="Q102" s="82"/>
      <c r="R102" s="82"/>
      <c r="S102" s="82"/>
      <c r="T102" s="82"/>
      <c r="U102" s="82"/>
    </row>
    <row r="103" spans="3:21" x14ac:dyDescent="0.2">
      <c r="C103" s="82"/>
      <c r="D103" s="82"/>
      <c r="E103" s="82"/>
      <c r="F103" s="82"/>
      <c r="G103" s="82"/>
      <c r="H103" s="82"/>
      <c r="I103" s="82"/>
      <c r="J103" s="82"/>
      <c r="K103" s="82"/>
      <c r="L103" s="82"/>
      <c r="M103" s="82"/>
      <c r="N103" s="82"/>
      <c r="O103" s="82"/>
      <c r="P103" s="82"/>
      <c r="Q103" s="82"/>
      <c r="R103" s="82"/>
      <c r="S103" s="82"/>
      <c r="T103" s="82"/>
      <c r="U103" s="82"/>
    </row>
    <row r="104" spans="3:21" x14ac:dyDescent="0.2">
      <c r="C104" s="82"/>
      <c r="D104" s="82"/>
      <c r="E104" s="82"/>
      <c r="F104" s="82"/>
      <c r="G104" s="82"/>
      <c r="H104" s="82"/>
      <c r="I104" s="82"/>
      <c r="J104" s="82"/>
      <c r="K104" s="82"/>
      <c r="L104" s="82"/>
      <c r="M104" s="82"/>
      <c r="N104" s="82"/>
      <c r="O104" s="82"/>
      <c r="P104" s="82"/>
      <c r="Q104" s="82"/>
      <c r="R104" s="82"/>
      <c r="S104" s="82"/>
      <c r="T104" s="82"/>
      <c r="U104" s="82"/>
    </row>
    <row r="105" spans="3:21" x14ac:dyDescent="0.2">
      <c r="C105" s="82"/>
      <c r="D105" s="82"/>
      <c r="E105" s="82"/>
      <c r="F105" s="82"/>
      <c r="G105" s="82"/>
      <c r="H105" s="82"/>
      <c r="I105" s="82"/>
      <c r="J105" s="82"/>
      <c r="K105" s="82"/>
      <c r="L105" s="82"/>
      <c r="M105" s="82"/>
      <c r="N105" s="82"/>
      <c r="O105" s="82"/>
      <c r="P105" s="82"/>
      <c r="Q105" s="82"/>
      <c r="R105" s="82"/>
      <c r="S105" s="82"/>
      <c r="T105" s="82"/>
      <c r="U105" s="82"/>
    </row>
    <row r="106" spans="3:21" x14ac:dyDescent="0.2">
      <c r="C106" s="82"/>
      <c r="D106" s="82"/>
      <c r="E106" s="82"/>
      <c r="F106" s="82"/>
      <c r="G106" s="82"/>
      <c r="H106" s="82"/>
      <c r="I106" s="82"/>
      <c r="J106" s="82"/>
      <c r="K106" s="82"/>
      <c r="L106" s="82"/>
      <c r="M106" s="82"/>
      <c r="N106" s="82"/>
      <c r="O106" s="82"/>
      <c r="P106" s="82"/>
      <c r="Q106" s="82"/>
      <c r="R106" s="82"/>
      <c r="S106" s="82"/>
      <c r="T106" s="82"/>
      <c r="U106" s="82"/>
    </row>
    <row r="107" spans="3:21" x14ac:dyDescent="0.2">
      <c r="C107" s="82"/>
      <c r="D107" s="82"/>
      <c r="E107" s="82"/>
      <c r="F107" s="82"/>
      <c r="G107" s="82"/>
      <c r="H107" s="82"/>
      <c r="I107" s="82"/>
      <c r="J107" s="82"/>
      <c r="K107" s="82"/>
      <c r="L107" s="82"/>
      <c r="M107" s="82"/>
      <c r="N107" s="82"/>
      <c r="O107" s="82"/>
      <c r="P107" s="82"/>
      <c r="Q107" s="82"/>
      <c r="R107" s="82"/>
      <c r="S107" s="82"/>
      <c r="T107" s="82"/>
      <c r="U107" s="82"/>
    </row>
    <row r="108" spans="3:21" x14ac:dyDescent="0.2">
      <c r="C108" s="82"/>
      <c r="D108" s="82"/>
      <c r="E108" s="82"/>
      <c r="F108" s="82"/>
      <c r="G108" s="82"/>
      <c r="H108" s="82"/>
      <c r="I108" s="82"/>
      <c r="J108" s="82"/>
      <c r="K108" s="82"/>
      <c r="L108" s="82"/>
      <c r="M108" s="82"/>
      <c r="N108" s="82"/>
      <c r="O108" s="82"/>
      <c r="P108" s="82"/>
      <c r="Q108" s="82"/>
      <c r="R108" s="82"/>
      <c r="S108" s="82"/>
      <c r="T108" s="82"/>
      <c r="U108" s="82"/>
    </row>
    <row r="109" spans="3:21" x14ac:dyDescent="0.2">
      <c r="C109" s="82"/>
      <c r="D109" s="82"/>
      <c r="E109" s="82"/>
      <c r="F109" s="82"/>
      <c r="G109" s="82"/>
      <c r="H109" s="82"/>
      <c r="I109" s="82"/>
      <c r="J109" s="82"/>
      <c r="K109" s="82"/>
      <c r="L109" s="82"/>
      <c r="M109" s="82"/>
      <c r="N109" s="82"/>
      <c r="O109" s="82"/>
      <c r="P109" s="82"/>
      <c r="Q109" s="82"/>
      <c r="R109" s="82"/>
      <c r="S109" s="82"/>
      <c r="T109" s="82"/>
      <c r="U109" s="82"/>
    </row>
    <row r="110" spans="3:21" x14ac:dyDescent="0.2">
      <c r="C110" s="82"/>
      <c r="D110" s="82"/>
      <c r="E110" s="82"/>
      <c r="F110" s="82"/>
      <c r="G110" s="82"/>
      <c r="H110" s="82"/>
      <c r="I110" s="82"/>
      <c r="J110" s="82"/>
      <c r="K110" s="82"/>
      <c r="L110" s="82"/>
      <c r="M110" s="82"/>
      <c r="N110" s="82"/>
      <c r="O110" s="82"/>
      <c r="P110" s="82"/>
      <c r="Q110" s="82"/>
      <c r="R110" s="82"/>
      <c r="S110" s="82"/>
      <c r="T110" s="82"/>
      <c r="U110" s="82"/>
    </row>
    <row r="111" spans="3:21" x14ac:dyDescent="0.2">
      <c r="C111" s="82"/>
      <c r="D111" s="82"/>
      <c r="E111" s="82"/>
      <c r="F111" s="82"/>
      <c r="G111" s="82"/>
      <c r="H111" s="82"/>
      <c r="I111" s="82"/>
      <c r="J111" s="82"/>
      <c r="K111" s="82"/>
      <c r="L111" s="82"/>
      <c r="M111" s="82"/>
      <c r="N111" s="82"/>
      <c r="O111" s="82"/>
      <c r="P111" s="82"/>
      <c r="Q111" s="82"/>
      <c r="R111" s="82"/>
      <c r="S111" s="82"/>
      <c r="T111" s="82"/>
      <c r="U111" s="82"/>
    </row>
    <row r="112" spans="3:21" x14ac:dyDescent="0.2">
      <c r="C112" s="82"/>
      <c r="D112" s="82"/>
      <c r="E112" s="82"/>
      <c r="F112" s="82"/>
      <c r="G112" s="82"/>
      <c r="H112" s="82"/>
      <c r="I112" s="82"/>
      <c r="J112" s="82"/>
      <c r="K112" s="82"/>
      <c r="L112" s="82"/>
      <c r="M112" s="82"/>
      <c r="N112" s="82"/>
      <c r="O112" s="82"/>
      <c r="P112" s="82"/>
      <c r="Q112" s="82"/>
      <c r="R112" s="82"/>
      <c r="S112" s="82"/>
      <c r="T112" s="82"/>
      <c r="U112" s="82"/>
    </row>
    <row r="113" spans="3:21" x14ac:dyDescent="0.2">
      <c r="C113" s="82"/>
      <c r="D113" s="82"/>
      <c r="E113" s="82"/>
      <c r="F113" s="82"/>
      <c r="G113" s="82"/>
      <c r="H113" s="82"/>
      <c r="I113" s="82"/>
      <c r="J113" s="82"/>
      <c r="K113" s="82"/>
      <c r="L113" s="82"/>
      <c r="M113" s="82"/>
      <c r="N113" s="82"/>
      <c r="O113" s="82"/>
      <c r="P113" s="82"/>
      <c r="Q113" s="82"/>
      <c r="R113" s="82"/>
      <c r="S113" s="82"/>
      <c r="T113" s="82"/>
      <c r="U113" s="82"/>
    </row>
    <row r="114" spans="3:21" x14ac:dyDescent="0.2">
      <c r="C114" s="82"/>
      <c r="D114" s="82"/>
      <c r="E114" s="82"/>
      <c r="F114" s="82"/>
      <c r="G114" s="82"/>
      <c r="H114" s="82"/>
      <c r="I114" s="82"/>
      <c r="J114" s="82"/>
      <c r="K114" s="82"/>
      <c r="L114" s="82"/>
      <c r="M114" s="82"/>
      <c r="N114" s="82"/>
      <c r="O114" s="82"/>
      <c r="P114" s="82"/>
      <c r="Q114" s="82"/>
      <c r="R114" s="82"/>
      <c r="S114" s="82"/>
      <c r="T114" s="82"/>
      <c r="U114" s="82"/>
    </row>
    <row r="115" spans="3:21" x14ac:dyDescent="0.2">
      <c r="C115" s="82"/>
      <c r="D115" s="82"/>
      <c r="E115" s="82"/>
      <c r="F115" s="82"/>
      <c r="G115" s="82"/>
      <c r="H115" s="82"/>
      <c r="I115" s="82"/>
      <c r="J115" s="82"/>
      <c r="K115" s="82"/>
      <c r="L115" s="82"/>
      <c r="M115" s="82"/>
      <c r="N115" s="82"/>
      <c r="O115" s="82"/>
      <c r="P115" s="82"/>
      <c r="Q115" s="82"/>
      <c r="R115" s="82"/>
      <c r="S115" s="82"/>
      <c r="T115" s="82"/>
      <c r="U115" s="82"/>
    </row>
    <row r="116" spans="3:21" x14ac:dyDescent="0.2">
      <c r="C116" s="82"/>
      <c r="D116" s="82"/>
      <c r="E116" s="82"/>
      <c r="F116" s="82"/>
      <c r="G116" s="82"/>
      <c r="H116" s="82"/>
      <c r="I116" s="82"/>
      <c r="J116" s="82"/>
      <c r="K116" s="82"/>
      <c r="L116" s="82"/>
      <c r="M116" s="82"/>
      <c r="N116" s="82"/>
      <c r="O116" s="82"/>
      <c r="P116" s="82"/>
      <c r="Q116" s="82"/>
      <c r="R116" s="82"/>
      <c r="S116" s="82"/>
      <c r="T116" s="82"/>
      <c r="U116" s="82"/>
    </row>
    <row r="117" spans="3:21" x14ac:dyDescent="0.2">
      <c r="C117" s="82"/>
      <c r="D117" s="82"/>
      <c r="E117" s="82"/>
      <c r="F117" s="82"/>
      <c r="G117" s="82"/>
      <c r="H117" s="82"/>
      <c r="I117" s="82"/>
      <c r="J117" s="82"/>
      <c r="K117" s="82"/>
      <c r="L117" s="82"/>
      <c r="M117" s="82"/>
      <c r="N117" s="82"/>
      <c r="O117" s="82"/>
      <c r="P117" s="82"/>
      <c r="Q117" s="82"/>
      <c r="R117" s="82"/>
      <c r="S117" s="82"/>
      <c r="T117" s="82"/>
      <c r="U117" s="82"/>
    </row>
    <row r="118" spans="3:21" x14ac:dyDescent="0.2">
      <c r="C118" s="82"/>
      <c r="D118" s="82"/>
      <c r="E118" s="82"/>
      <c r="F118" s="82"/>
      <c r="G118" s="82"/>
      <c r="H118" s="82"/>
      <c r="I118" s="82"/>
      <c r="J118" s="82"/>
      <c r="K118" s="82"/>
      <c r="L118" s="82"/>
      <c r="M118" s="82"/>
      <c r="N118" s="82"/>
      <c r="O118" s="82"/>
      <c r="P118" s="82"/>
      <c r="Q118" s="82"/>
      <c r="R118" s="82"/>
      <c r="S118" s="82"/>
      <c r="T118" s="82"/>
      <c r="U118" s="82"/>
    </row>
    <row r="119" spans="3:21" x14ac:dyDescent="0.2">
      <c r="C119" s="82"/>
      <c r="D119" s="82"/>
      <c r="E119" s="82"/>
      <c r="F119" s="82"/>
      <c r="G119" s="82"/>
      <c r="H119" s="82"/>
      <c r="I119" s="82"/>
      <c r="J119" s="82"/>
      <c r="K119" s="82"/>
      <c r="L119" s="82"/>
      <c r="M119" s="82"/>
      <c r="N119" s="82"/>
      <c r="O119" s="82"/>
      <c r="P119" s="82"/>
      <c r="Q119" s="82"/>
      <c r="R119" s="82"/>
      <c r="S119" s="82"/>
      <c r="T119" s="82"/>
      <c r="U119" s="82"/>
    </row>
    <row r="120" spans="3:21" x14ac:dyDescent="0.2">
      <c r="C120" s="82"/>
      <c r="D120" s="82"/>
      <c r="E120" s="82"/>
      <c r="F120" s="82"/>
      <c r="G120" s="82"/>
      <c r="H120" s="82"/>
      <c r="I120" s="82"/>
      <c r="J120" s="82"/>
      <c r="K120" s="82"/>
      <c r="L120" s="82"/>
      <c r="M120" s="82"/>
      <c r="N120" s="82"/>
      <c r="O120" s="82"/>
      <c r="P120" s="82"/>
      <c r="Q120" s="82"/>
      <c r="R120" s="82"/>
      <c r="S120" s="82"/>
      <c r="T120" s="82"/>
      <c r="U120" s="82"/>
    </row>
    <row r="121" spans="3:21" x14ac:dyDescent="0.2">
      <c r="C121" s="82"/>
      <c r="D121" s="82"/>
      <c r="E121" s="82"/>
      <c r="F121" s="82"/>
      <c r="G121" s="82"/>
      <c r="H121" s="82"/>
      <c r="I121" s="82"/>
      <c r="J121" s="82"/>
      <c r="K121" s="82"/>
      <c r="L121" s="82"/>
      <c r="M121" s="82"/>
      <c r="N121" s="82"/>
      <c r="O121" s="82"/>
      <c r="P121" s="82"/>
      <c r="Q121" s="82"/>
      <c r="R121" s="82"/>
      <c r="S121" s="82"/>
      <c r="T121" s="82"/>
      <c r="U121" s="82"/>
    </row>
    <row r="122" spans="3:21" x14ac:dyDescent="0.2">
      <c r="C122" s="82"/>
      <c r="D122" s="82"/>
      <c r="E122" s="82"/>
      <c r="F122" s="82"/>
      <c r="G122" s="82"/>
      <c r="H122" s="82"/>
      <c r="I122" s="82"/>
      <c r="J122" s="82"/>
      <c r="K122" s="82"/>
      <c r="L122" s="82"/>
      <c r="M122" s="82"/>
      <c r="N122" s="82"/>
      <c r="O122" s="82"/>
      <c r="P122" s="82"/>
      <c r="Q122" s="82"/>
      <c r="R122" s="82"/>
      <c r="S122" s="82"/>
      <c r="T122" s="82"/>
      <c r="U122" s="82"/>
    </row>
    <row r="123" spans="3:21" x14ac:dyDescent="0.2">
      <c r="C123" s="82"/>
      <c r="D123" s="82"/>
      <c r="E123" s="82"/>
      <c r="F123" s="82"/>
      <c r="G123" s="82"/>
      <c r="H123" s="82"/>
      <c r="I123" s="82"/>
      <c r="J123" s="82"/>
      <c r="K123" s="82"/>
      <c r="L123" s="82"/>
      <c r="M123" s="82"/>
      <c r="N123" s="82"/>
      <c r="O123" s="82"/>
      <c r="P123" s="82"/>
      <c r="Q123" s="82"/>
      <c r="R123" s="82"/>
      <c r="S123" s="82"/>
      <c r="T123" s="82"/>
      <c r="U123" s="82"/>
    </row>
    <row r="124" spans="3:21" x14ac:dyDescent="0.2">
      <c r="C124" s="82"/>
      <c r="D124" s="82"/>
      <c r="E124" s="82"/>
      <c r="F124" s="82"/>
      <c r="G124" s="82"/>
      <c r="H124" s="82"/>
      <c r="I124" s="82"/>
      <c r="J124" s="82"/>
      <c r="K124" s="82"/>
      <c r="L124" s="82"/>
      <c r="M124" s="82"/>
      <c r="N124" s="82"/>
      <c r="O124" s="82"/>
      <c r="P124" s="82"/>
      <c r="Q124" s="82"/>
      <c r="R124" s="82"/>
      <c r="S124" s="82"/>
      <c r="T124" s="82"/>
      <c r="U124" s="82"/>
    </row>
    <row r="125" spans="3:21" x14ac:dyDescent="0.2">
      <c r="C125" s="82"/>
      <c r="D125" s="82"/>
      <c r="E125" s="82"/>
      <c r="F125" s="82"/>
      <c r="G125" s="82"/>
      <c r="H125" s="82"/>
      <c r="I125" s="82"/>
      <c r="J125" s="82"/>
      <c r="K125" s="82"/>
      <c r="L125" s="82"/>
      <c r="M125" s="82"/>
      <c r="N125" s="82"/>
      <c r="O125" s="82"/>
      <c r="P125" s="82"/>
      <c r="Q125" s="82"/>
      <c r="R125" s="82"/>
      <c r="S125" s="82"/>
      <c r="T125" s="82"/>
      <c r="U125" s="82"/>
    </row>
    <row r="126" spans="3:21" x14ac:dyDescent="0.2">
      <c r="C126" s="82"/>
      <c r="D126" s="82"/>
      <c r="E126" s="82"/>
      <c r="F126" s="82"/>
      <c r="G126" s="82"/>
      <c r="H126" s="82"/>
      <c r="I126" s="82"/>
      <c r="J126" s="82"/>
      <c r="K126" s="82"/>
      <c r="L126" s="82"/>
      <c r="M126" s="82"/>
      <c r="N126" s="82"/>
      <c r="O126" s="82"/>
      <c r="P126" s="82"/>
      <c r="Q126" s="82"/>
      <c r="R126" s="82"/>
      <c r="S126" s="82"/>
      <c r="T126" s="82"/>
      <c r="U126" s="82"/>
    </row>
    <row r="127" spans="3:21" x14ac:dyDescent="0.2">
      <c r="C127" s="82"/>
      <c r="D127" s="82"/>
      <c r="E127" s="82"/>
      <c r="F127" s="82"/>
      <c r="G127" s="82"/>
      <c r="H127" s="82"/>
      <c r="I127" s="82"/>
      <c r="J127" s="82"/>
      <c r="K127" s="82"/>
      <c r="L127" s="82"/>
      <c r="M127" s="82"/>
      <c r="N127" s="82"/>
      <c r="O127" s="82"/>
      <c r="P127" s="82"/>
      <c r="Q127" s="82"/>
      <c r="R127" s="82"/>
      <c r="S127" s="82"/>
      <c r="T127" s="82"/>
      <c r="U127" s="82"/>
    </row>
    <row r="128" spans="3:21" x14ac:dyDescent="0.2">
      <c r="C128" s="82"/>
      <c r="D128" s="82"/>
      <c r="E128" s="82"/>
      <c r="F128" s="82"/>
      <c r="G128" s="82"/>
      <c r="H128" s="82"/>
      <c r="I128" s="82"/>
      <c r="J128" s="82"/>
      <c r="K128" s="82"/>
      <c r="L128" s="82"/>
      <c r="M128" s="82"/>
      <c r="N128" s="82"/>
      <c r="O128" s="82"/>
      <c r="P128" s="82"/>
      <c r="Q128" s="82"/>
      <c r="R128" s="82"/>
      <c r="S128" s="82"/>
      <c r="T128" s="82"/>
      <c r="U128" s="82"/>
    </row>
    <row r="129" spans="3:21" x14ac:dyDescent="0.2">
      <c r="C129" s="82"/>
      <c r="D129" s="82"/>
      <c r="E129" s="82"/>
      <c r="F129" s="82"/>
      <c r="G129" s="82"/>
      <c r="H129" s="82"/>
      <c r="I129" s="82"/>
      <c r="J129" s="82"/>
      <c r="K129" s="82"/>
      <c r="L129" s="82"/>
      <c r="M129" s="82"/>
      <c r="N129" s="82"/>
      <c r="O129" s="82"/>
      <c r="P129" s="82"/>
      <c r="Q129" s="82"/>
      <c r="R129" s="82"/>
      <c r="S129" s="82"/>
      <c r="T129" s="82"/>
      <c r="U129" s="82"/>
    </row>
    <row r="130" spans="3:21" x14ac:dyDescent="0.2">
      <c r="C130" s="82"/>
      <c r="D130" s="82"/>
      <c r="E130" s="82"/>
      <c r="F130" s="82"/>
      <c r="G130" s="82"/>
      <c r="H130" s="82"/>
      <c r="I130" s="82"/>
      <c r="J130" s="82"/>
      <c r="K130" s="82"/>
      <c r="L130" s="82"/>
      <c r="M130" s="82"/>
      <c r="N130" s="82"/>
      <c r="O130" s="82"/>
      <c r="P130" s="82"/>
      <c r="Q130" s="82"/>
      <c r="R130" s="82"/>
      <c r="S130" s="82"/>
      <c r="T130" s="82"/>
      <c r="U130" s="82"/>
    </row>
    <row r="131" spans="3:21" x14ac:dyDescent="0.2">
      <c r="C131" s="82"/>
      <c r="D131" s="82"/>
      <c r="E131" s="82"/>
      <c r="F131" s="82"/>
      <c r="G131" s="82"/>
      <c r="H131" s="82"/>
      <c r="I131" s="82"/>
      <c r="J131" s="82"/>
      <c r="K131" s="82"/>
      <c r="L131" s="82"/>
      <c r="M131" s="82"/>
      <c r="N131" s="82"/>
      <c r="O131" s="82"/>
      <c r="P131" s="82"/>
      <c r="Q131" s="82"/>
      <c r="R131" s="82"/>
      <c r="S131" s="82"/>
      <c r="T131" s="82"/>
      <c r="U131" s="82"/>
    </row>
    <row r="132" spans="3:21" x14ac:dyDescent="0.2">
      <c r="C132" s="82"/>
      <c r="D132" s="82"/>
      <c r="E132" s="82"/>
      <c r="F132" s="82"/>
      <c r="G132" s="82"/>
      <c r="H132" s="82"/>
      <c r="I132" s="82"/>
      <c r="J132" s="82"/>
      <c r="K132" s="82"/>
      <c r="L132" s="82"/>
      <c r="M132" s="82"/>
      <c r="N132" s="82"/>
      <c r="O132" s="82"/>
      <c r="P132" s="82"/>
      <c r="Q132" s="82"/>
      <c r="R132" s="82"/>
      <c r="S132" s="82"/>
      <c r="T132" s="82"/>
      <c r="U132" s="82"/>
    </row>
    <row r="133" spans="3:21" x14ac:dyDescent="0.2">
      <c r="C133" s="82"/>
      <c r="D133" s="82"/>
      <c r="E133" s="82"/>
      <c r="F133" s="82"/>
      <c r="G133" s="82"/>
      <c r="H133" s="82"/>
      <c r="I133" s="82"/>
      <c r="J133" s="82"/>
      <c r="K133" s="82"/>
      <c r="L133" s="82"/>
      <c r="M133" s="82"/>
      <c r="N133" s="82"/>
      <c r="O133" s="82"/>
      <c r="P133" s="82"/>
      <c r="Q133" s="82"/>
      <c r="R133" s="82"/>
      <c r="S133" s="82"/>
      <c r="T133" s="82"/>
      <c r="U133" s="82"/>
    </row>
    <row r="134" spans="3:21" x14ac:dyDescent="0.2">
      <c r="C134" s="82"/>
      <c r="D134" s="82"/>
      <c r="E134" s="82"/>
      <c r="F134" s="82"/>
      <c r="G134" s="82"/>
      <c r="H134" s="82"/>
      <c r="I134" s="82"/>
      <c r="J134" s="82"/>
      <c r="K134" s="82"/>
      <c r="L134" s="82"/>
      <c r="M134" s="82"/>
      <c r="N134" s="82"/>
      <c r="O134" s="82"/>
      <c r="P134" s="82"/>
      <c r="Q134" s="82"/>
      <c r="R134" s="82"/>
      <c r="S134" s="82"/>
      <c r="T134" s="82"/>
      <c r="U134" s="82"/>
    </row>
    <row r="135" spans="3:21" x14ac:dyDescent="0.2">
      <c r="C135" s="82"/>
      <c r="D135" s="82"/>
      <c r="E135" s="82"/>
      <c r="F135" s="82"/>
      <c r="G135" s="82"/>
      <c r="H135" s="82"/>
      <c r="I135" s="82"/>
      <c r="J135" s="82"/>
      <c r="K135" s="82"/>
      <c r="L135" s="82"/>
      <c r="M135" s="82"/>
      <c r="N135" s="82"/>
      <c r="O135" s="82"/>
      <c r="P135" s="82"/>
      <c r="Q135" s="82"/>
      <c r="R135" s="82"/>
      <c r="S135" s="82"/>
      <c r="T135" s="82"/>
      <c r="U135" s="82"/>
    </row>
    <row r="136" spans="3:21" x14ac:dyDescent="0.2">
      <c r="C136" s="82"/>
      <c r="D136" s="82"/>
      <c r="E136" s="82"/>
      <c r="F136" s="82"/>
      <c r="G136" s="82"/>
      <c r="H136" s="82"/>
      <c r="I136" s="82"/>
      <c r="J136" s="82"/>
      <c r="K136" s="82"/>
      <c r="L136" s="82"/>
      <c r="M136" s="82"/>
      <c r="N136" s="82"/>
      <c r="O136" s="82"/>
      <c r="P136" s="82"/>
      <c r="Q136" s="82"/>
      <c r="R136" s="82"/>
      <c r="S136" s="82"/>
      <c r="T136" s="82"/>
      <c r="U136" s="82"/>
    </row>
    <row r="137" spans="3:21" x14ac:dyDescent="0.2">
      <c r="C137" s="82"/>
      <c r="D137" s="82"/>
      <c r="E137" s="82"/>
      <c r="F137" s="82"/>
      <c r="G137" s="82"/>
      <c r="H137" s="82"/>
      <c r="I137" s="82"/>
      <c r="J137" s="82"/>
      <c r="K137" s="82"/>
      <c r="L137" s="82"/>
      <c r="M137" s="82"/>
      <c r="N137" s="82"/>
      <c r="O137" s="82"/>
      <c r="P137" s="82"/>
      <c r="Q137" s="82"/>
      <c r="R137" s="82"/>
      <c r="S137" s="82"/>
      <c r="T137" s="82"/>
      <c r="U137" s="82"/>
    </row>
    <row r="138" spans="3:21" x14ac:dyDescent="0.2">
      <c r="C138" s="82"/>
      <c r="D138" s="82"/>
      <c r="E138" s="82"/>
      <c r="F138" s="82"/>
      <c r="G138" s="82"/>
      <c r="H138" s="82"/>
      <c r="I138" s="82"/>
      <c r="J138" s="82"/>
      <c r="K138" s="82"/>
      <c r="L138" s="82"/>
      <c r="M138" s="82"/>
      <c r="N138" s="82"/>
      <c r="O138" s="82"/>
      <c r="P138" s="82"/>
      <c r="Q138" s="82"/>
      <c r="R138" s="82"/>
      <c r="S138" s="82"/>
      <c r="T138" s="82"/>
      <c r="U138" s="82"/>
    </row>
    <row r="139" spans="3:21" x14ac:dyDescent="0.2">
      <c r="C139" s="82"/>
      <c r="D139" s="82"/>
      <c r="E139" s="82"/>
      <c r="F139" s="82"/>
      <c r="G139" s="82"/>
      <c r="H139" s="82"/>
      <c r="I139" s="82"/>
      <c r="J139" s="82"/>
      <c r="K139" s="82"/>
      <c r="L139" s="82"/>
      <c r="M139" s="82"/>
      <c r="N139" s="82"/>
      <c r="O139" s="82"/>
      <c r="P139" s="82"/>
      <c r="Q139" s="82"/>
      <c r="R139" s="82"/>
      <c r="S139" s="82"/>
      <c r="T139" s="82"/>
      <c r="U139" s="82"/>
    </row>
    <row r="140" spans="3:21" x14ac:dyDescent="0.2">
      <c r="C140" s="82"/>
      <c r="D140" s="82"/>
      <c r="E140" s="82"/>
      <c r="F140" s="82"/>
      <c r="G140" s="82"/>
      <c r="H140" s="82"/>
      <c r="I140" s="82"/>
      <c r="J140" s="82"/>
      <c r="K140" s="82"/>
      <c r="L140" s="82"/>
      <c r="M140" s="82"/>
      <c r="N140" s="82"/>
      <c r="O140" s="82"/>
      <c r="P140" s="82"/>
      <c r="Q140" s="82"/>
      <c r="R140" s="82"/>
      <c r="S140" s="82"/>
      <c r="T140" s="82"/>
      <c r="U140" s="82"/>
    </row>
    <row r="141" spans="3:21" x14ac:dyDescent="0.2">
      <c r="C141" s="82"/>
      <c r="D141" s="82"/>
      <c r="E141" s="82"/>
      <c r="F141" s="82"/>
      <c r="G141" s="82"/>
      <c r="H141" s="82"/>
      <c r="I141" s="82"/>
      <c r="J141" s="82"/>
      <c r="K141" s="82"/>
      <c r="L141" s="82"/>
      <c r="M141" s="82"/>
      <c r="N141" s="82"/>
      <c r="O141" s="82"/>
      <c r="P141" s="82"/>
      <c r="Q141" s="82"/>
      <c r="R141" s="82"/>
      <c r="S141" s="82"/>
      <c r="T141" s="82"/>
      <c r="U141" s="82"/>
    </row>
    <row r="142" spans="3:21" x14ac:dyDescent="0.2">
      <c r="C142" s="82"/>
      <c r="D142" s="82"/>
      <c r="E142" s="82"/>
      <c r="F142" s="82"/>
      <c r="G142" s="82"/>
      <c r="H142" s="82"/>
      <c r="I142" s="82"/>
      <c r="J142" s="82"/>
      <c r="K142" s="82"/>
      <c r="L142" s="82"/>
      <c r="M142" s="82"/>
      <c r="N142" s="82"/>
      <c r="O142" s="82"/>
      <c r="P142" s="82"/>
      <c r="Q142" s="82"/>
      <c r="R142" s="82"/>
      <c r="S142" s="82"/>
      <c r="T142" s="82"/>
      <c r="U142" s="82"/>
    </row>
    <row r="143" spans="3:21" x14ac:dyDescent="0.2">
      <c r="C143" s="82"/>
      <c r="D143" s="82"/>
      <c r="E143" s="82"/>
      <c r="F143" s="82"/>
      <c r="G143" s="82"/>
      <c r="H143" s="82"/>
      <c r="I143" s="82"/>
      <c r="J143" s="82"/>
      <c r="K143" s="82"/>
      <c r="L143" s="82"/>
      <c r="M143" s="82"/>
      <c r="N143" s="82"/>
      <c r="O143" s="82"/>
      <c r="P143" s="82"/>
      <c r="Q143" s="82"/>
      <c r="R143" s="82"/>
      <c r="S143" s="82"/>
      <c r="T143" s="82"/>
      <c r="U143" s="82"/>
    </row>
    <row r="144" spans="3:21" x14ac:dyDescent="0.2">
      <c r="C144" s="82"/>
      <c r="D144" s="82"/>
      <c r="E144" s="82"/>
      <c r="F144" s="82"/>
      <c r="G144" s="82"/>
      <c r="H144" s="82"/>
      <c r="I144" s="82"/>
      <c r="J144" s="82"/>
      <c r="K144" s="82"/>
      <c r="L144" s="82"/>
      <c r="M144" s="82"/>
      <c r="N144" s="82"/>
      <c r="O144" s="82"/>
      <c r="P144" s="82"/>
      <c r="Q144" s="82"/>
      <c r="R144" s="82"/>
      <c r="S144" s="82"/>
      <c r="T144" s="82"/>
      <c r="U144" s="82"/>
    </row>
    <row r="145" spans="3:21" x14ac:dyDescent="0.2">
      <c r="C145" s="82"/>
      <c r="D145" s="82"/>
      <c r="E145" s="82"/>
      <c r="F145" s="82"/>
      <c r="G145" s="82"/>
      <c r="H145" s="82"/>
      <c r="I145" s="82"/>
      <c r="J145" s="82"/>
      <c r="K145" s="82"/>
      <c r="L145" s="82"/>
      <c r="M145" s="82"/>
      <c r="N145" s="82"/>
      <c r="O145" s="82"/>
      <c r="P145" s="82"/>
      <c r="Q145" s="82"/>
      <c r="R145" s="82"/>
      <c r="S145" s="82"/>
      <c r="T145" s="82"/>
      <c r="U145" s="82"/>
    </row>
    <row r="146" spans="3:21" x14ac:dyDescent="0.2">
      <c r="C146" s="82"/>
      <c r="D146" s="82"/>
      <c r="E146" s="82"/>
      <c r="F146" s="82"/>
      <c r="G146" s="82"/>
      <c r="H146" s="82"/>
      <c r="I146" s="82"/>
      <c r="J146" s="82"/>
      <c r="K146" s="82"/>
      <c r="L146" s="82"/>
      <c r="M146" s="82"/>
      <c r="N146" s="82"/>
      <c r="O146" s="82"/>
      <c r="P146" s="82"/>
      <c r="Q146" s="82"/>
      <c r="R146" s="82"/>
      <c r="S146" s="82"/>
      <c r="T146" s="82"/>
      <c r="U146" s="82"/>
    </row>
    <row r="147" spans="3:21" x14ac:dyDescent="0.2">
      <c r="C147" s="82"/>
      <c r="D147" s="82"/>
      <c r="E147" s="82"/>
      <c r="F147" s="82"/>
      <c r="G147" s="82"/>
      <c r="H147" s="82"/>
      <c r="I147" s="82"/>
      <c r="J147" s="82"/>
      <c r="K147" s="82"/>
      <c r="L147" s="82"/>
      <c r="M147" s="82"/>
      <c r="N147" s="82"/>
      <c r="O147" s="82"/>
      <c r="P147" s="82"/>
      <c r="Q147" s="82"/>
      <c r="R147" s="82"/>
      <c r="S147" s="82"/>
      <c r="T147" s="82"/>
      <c r="U147" s="82"/>
    </row>
    <row r="148" spans="3:21" x14ac:dyDescent="0.2">
      <c r="C148" s="82"/>
      <c r="D148" s="82"/>
      <c r="E148" s="82"/>
      <c r="F148" s="82"/>
      <c r="G148" s="82"/>
      <c r="H148" s="82"/>
      <c r="I148" s="82"/>
      <c r="J148" s="82"/>
      <c r="K148" s="82"/>
      <c r="L148" s="82"/>
      <c r="M148" s="82"/>
      <c r="N148" s="82"/>
      <c r="O148" s="82"/>
      <c r="P148" s="82"/>
      <c r="Q148" s="82"/>
      <c r="R148" s="82"/>
      <c r="S148" s="82"/>
      <c r="T148" s="82"/>
      <c r="U148" s="82"/>
    </row>
    <row r="149" spans="3:21" x14ac:dyDescent="0.2">
      <c r="C149" s="82"/>
      <c r="D149" s="82"/>
      <c r="E149" s="82"/>
      <c r="F149" s="82"/>
      <c r="G149" s="82"/>
      <c r="H149" s="82"/>
      <c r="I149" s="82"/>
      <c r="J149" s="82"/>
      <c r="K149" s="82"/>
      <c r="L149" s="82"/>
      <c r="M149" s="82"/>
      <c r="N149" s="82"/>
      <c r="O149" s="82"/>
      <c r="P149" s="82"/>
      <c r="Q149" s="82"/>
      <c r="R149" s="82"/>
      <c r="S149" s="82"/>
      <c r="T149" s="82"/>
      <c r="U149" s="82"/>
    </row>
    <row r="150" spans="3:21" x14ac:dyDescent="0.2">
      <c r="C150" s="82"/>
      <c r="D150" s="82"/>
      <c r="E150" s="82"/>
      <c r="F150" s="82"/>
      <c r="G150" s="82"/>
      <c r="H150" s="82"/>
      <c r="I150" s="82"/>
      <c r="J150" s="82"/>
      <c r="K150" s="82"/>
      <c r="L150" s="82"/>
      <c r="M150" s="82"/>
      <c r="N150" s="82"/>
      <c r="O150" s="82"/>
      <c r="P150" s="82"/>
      <c r="Q150" s="82"/>
      <c r="R150" s="82"/>
      <c r="S150" s="82"/>
      <c r="T150" s="82"/>
      <c r="U150" s="82"/>
    </row>
    <row r="151" spans="3:21" x14ac:dyDescent="0.2">
      <c r="C151" s="82"/>
      <c r="D151" s="82"/>
      <c r="E151" s="82"/>
      <c r="F151" s="82"/>
      <c r="G151" s="82"/>
      <c r="H151" s="82"/>
      <c r="I151" s="82"/>
      <c r="J151" s="82"/>
      <c r="K151" s="82"/>
      <c r="L151" s="82"/>
      <c r="M151" s="82"/>
      <c r="N151" s="82"/>
      <c r="O151" s="82"/>
      <c r="P151" s="82"/>
      <c r="Q151" s="82"/>
      <c r="R151" s="82"/>
      <c r="S151" s="82"/>
      <c r="T151" s="82"/>
      <c r="U151" s="82"/>
    </row>
    <row r="152" spans="3:21" x14ac:dyDescent="0.2">
      <c r="C152" s="82"/>
      <c r="D152" s="82"/>
      <c r="E152" s="82"/>
      <c r="F152" s="82"/>
      <c r="G152" s="82"/>
      <c r="H152" s="82"/>
      <c r="I152" s="82"/>
      <c r="J152" s="82"/>
      <c r="K152" s="82"/>
      <c r="L152" s="82"/>
      <c r="M152" s="82"/>
      <c r="N152" s="82"/>
      <c r="O152" s="82"/>
      <c r="P152" s="82"/>
      <c r="Q152" s="82"/>
      <c r="R152" s="82"/>
      <c r="S152" s="82"/>
      <c r="T152" s="82"/>
      <c r="U152" s="82"/>
    </row>
    <row r="153" spans="3:21" x14ac:dyDescent="0.2">
      <c r="C153" s="82"/>
      <c r="D153" s="82"/>
      <c r="E153" s="82"/>
      <c r="F153" s="82"/>
      <c r="G153" s="82"/>
      <c r="H153" s="82"/>
      <c r="I153" s="82"/>
      <c r="J153" s="82"/>
      <c r="K153" s="82"/>
      <c r="L153" s="82"/>
      <c r="M153" s="82"/>
      <c r="N153" s="82"/>
      <c r="O153" s="82"/>
      <c r="P153" s="82"/>
      <c r="Q153" s="82"/>
      <c r="R153" s="82"/>
      <c r="S153" s="82"/>
      <c r="T153" s="82"/>
      <c r="U153" s="82"/>
    </row>
    <row r="154" spans="3:21" x14ac:dyDescent="0.2">
      <c r="C154" s="82"/>
      <c r="D154" s="82"/>
      <c r="E154" s="82"/>
      <c r="F154" s="82"/>
      <c r="G154" s="82"/>
      <c r="H154" s="82"/>
      <c r="I154" s="82"/>
      <c r="J154" s="82"/>
      <c r="K154" s="82"/>
      <c r="L154" s="82"/>
      <c r="M154" s="82"/>
      <c r="N154" s="82"/>
      <c r="O154" s="82"/>
      <c r="P154" s="82"/>
      <c r="Q154" s="82"/>
      <c r="R154" s="82"/>
      <c r="S154" s="82"/>
      <c r="T154" s="82"/>
      <c r="U154" s="82"/>
    </row>
    <row r="155" spans="3:21" x14ac:dyDescent="0.2">
      <c r="C155" s="82"/>
      <c r="D155" s="82"/>
      <c r="E155" s="82"/>
      <c r="F155" s="82"/>
      <c r="G155" s="82"/>
      <c r="H155" s="82"/>
      <c r="I155" s="82"/>
      <c r="J155" s="82"/>
      <c r="K155" s="82"/>
      <c r="L155" s="82"/>
      <c r="M155" s="82"/>
      <c r="N155" s="82"/>
      <c r="O155" s="82"/>
      <c r="P155" s="82"/>
      <c r="Q155" s="82"/>
      <c r="R155" s="82"/>
      <c r="S155" s="82"/>
      <c r="T155" s="82"/>
      <c r="U155" s="82"/>
    </row>
    <row r="156" spans="3:21" x14ac:dyDescent="0.2">
      <c r="C156" s="82"/>
      <c r="D156" s="82"/>
      <c r="E156" s="82"/>
      <c r="F156" s="82"/>
      <c r="G156" s="82"/>
      <c r="H156" s="82"/>
      <c r="I156" s="82"/>
      <c r="J156" s="82"/>
      <c r="K156" s="82"/>
      <c r="L156" s="82"/>
      <c r="M156" s="82"/>
      <c r="N156" s="82"/>
      <c r="O156" s="82"/>
      <c r="P156" s="82"/>
      <c r="Q156" s="82"/>
      <c r="R156" s="82"/>
      <c r="S156" s="82"/>
      <c r="T156" s="82"/>
      <c r="U156" s="82"/>
    </row>
    <row r="157" spans="3:21" x14ac:dyDescent="0.2">
      <c r="C157" s="82"/>
      <c r="D157" s="82"/>
      <c r="E157" s="82"/>
      <c r="F157" s="82"/>
      <c r="G157" s="82"/>
      <c r="H157" s="82"/>
      <c r="I157" s="82"/>
      <c r="J157" s="82"/>
      <c r="K157" s="82"/>
      <c r="L157" s="82"/>
      <c r="M157" s="82"/>
      <c r="N157" s="82"/>
      <c r="O157" s="82"/>
      <c r="P157" s="82"/>
      <c r="Q157" s="82"/>
      <c r="R157" s="82"/>
      <c r="S157" s="82"/>
      <c r="T157" s="82"/>
      <c r="U157" s="82"/>
    </row>
    <row r="158" spans="3:21" x14ac:dyDescent="0.2">
      <c r="C158" s="82"/>
      <c r="D158" s="82"/>
      <c r="E158" s="82"/>
      <c r="F158" s="82"/>
      <c r="G158" s="82"/>
      <c r="H158" s="82"/>
      <c r="I158" s="82"/>
      <c r="J158" s="82"/>
      <c r="K158" s="82"/>
      <c r="L158" s="82"/>
      <c r="M158" s="82"/>
      <c r="N158" s="82"/>
      <c r="O158" s="82"/>
      <c r="P158" s="82"/>
      <c r="Q158" s="82"/>
      <c r="R158" s="82"/>
      <c r="S158" s="82"/>
      <c r="T158" s="82"/>
      <c r="U158" s="82"/>
    </row>
    <row r="159" spans="3:21" x14ac:dyDescent="0.2">
      <c r="C159" s="82"/>
      <c r="D159" s="82"/>
      <c r="E159" s="82"/>
      <c r="F159" s="82"/>
      <c r="G159" s="82"/>
      <c r="H159" s="82"/>
      <c r="I159" s="82"/>
      <c r="J159" s="82"/>
      <c r="K159" s="82"/>
      <c r="L159" s="82"/>
      <c r="M159" s="82"/>
      <c r="N159" s="82"/>
      <c r="O159" s="82"/>
      <c r="P159" s="82"/>
      <c r="Q159" s="82"/>
      <c r="R159" s="82"/>
      <c r="S159" s="82"/>
      <c r="T159" s="82"/>
      <c r="U159" s="82"/>
    </row>
    <row r="160" spans="3:21" x14ac:dyDescent="0.2">
      <c r="C160" s="82"/>
      <c r="D160" s="82"/>
      <c r="E160" s="82"/>
      <c r="F160" s="82"/>
      <c r="G160" s="82"/>
      <c r="H160" s="82"/>
      <c r="I160" s="82"/>
      <c r="J160" s="82"/>
      <c r="K160" s="82"/>
      <c r="L160" s="82"/>
      <c r="M160" s="82"/>
      <c r="N160" s="82"/>
      <c r="O160" s="82"/>
      <c r="P160" s="82"/>
      <c r="Q160" s="82"/>
      <c r="R160" s="82"/>
      <c r="S160" s="82"/>
      <c r="T160" s="82"/>
      <c r="U160" s="82"/>
    </row>
    <row r="161" spans="3:21" x14ac:dyDescent="0.2">
      <c r="C161" s="82"/>
      <c r="D161" s="82"/>
      <c r="E161" s="82"/>
      <c r="F161" s="82"/>
      <c r="G161" s="82"/>
      <c r="H161" s="82"/>
      <c r="I161" s="82"/>
      <c r="J161" s="82"/>
      <c r="K161" s="82"/>
      <c r="L161" s="82"/>
      <c r="M161" s="82"/>
      <c r="N161" s="82"/>
      <c r="O161" s="82"/>
      <c r="P161" s="82"/>
      <c r="Q161" s="82"/>
      <c r="R161" s="82"/>
      <c r="S161" s="82"/>
      <c r="T161" s="82"/>
      <c r="U161" s="82"/>
    </row>
    <row r="162" spans="3:21" x14ac:dyDescent="0.2">
      <c r="C162" s="82"/>
      <c r="D162" s="82"/>
      <c r="E162" s="82"/>
      <c r="F162" s="82"/>
      <c r="G162" s="82"/>
      <c r="H162" s="82"/>
      <c r="I162" s="82"/>
      <c r="J162" s="82"/>
      <c r="K162" s="82"/>
      <c r="L162" s="82"/>
      <c r="M162" s="82"/>
      <c r="N162" s="82"/>
      <c r="O162" s="82"/>
      <c r="P162" s="82"/>
      <c r="Q162" s="82"/>
      <c r="R162" s="82"/>
      <c r="S162" s="82"/>
      <c r="T162" s="82"/>
      <c r="U162" s="82"/>
    </row>
    <row r="163" spans="3:21" x14ac:dyDescent="0.2">
      <c r="C163" s="82"/>
      <c r="D163" s="82"/>
      <c r="E163" s="82"/>
      <c r="F163" s="82"/>
      <c r="G163" s="82"/>
      <c r="H163" s="82"/>
      <c r="I163" s="82"/>
      <c r="J163" s="82"/>
      <c r="K163" s="82"/>
      <c r="L163" s="82"/>
      <c r="M163" s="82"/>
      <c r="N163" s="82"/>
      <c r="O163" s="82"/>
      <c r="P163" s="82"/>
      <c r="Q163" s="82"/>
      <c r="R163" s="82"/>
      <c r="S163" s="82"/>
      <c r="T163" s="82"/>
      <c r="U163" s="82"/>
    </row>
    <row r="164" spans="3:21" x14ac:dyDescent="0.2">
      <c r="C164" s="82"/>
      <c r="D164" s="82"/>
      <c r="E164" s="82"/>
      <c r="F164" s="82"/>
      <c r="G164" s="82"/>
      <c r="H164" s="82"/>
      <c r="I164" s="82"/>
      <c r="J164" s="82"/>
      <c r="K164" s="82"/>
      <c r="L164" s="82"/>
      <c r="M164" s="82"/>
      <c r="N164" s="82"/>
      <c r="O164" s="82"/>
      <c r="P164" s="82"/>
      <c r="Q164" s="82"/>
      <c r="R164" s="82"/>
      <c r="S164" s="82"/>
      <c r="T164" s="82"/>
      <c r="U164" s="82"/>
    </row>
    <row r="165" spans="3:21" x14ac:dyDescent="0.2">
      <c r="C165" s="82"/>
      <c r="D165" s="82"/>
      <c r="E165" s="82"/>
      <c r="F165" s="82"/>
      <c r="G165" s="82"/>
      <c r="H165" s="82"/>
      <c r="I165" s="82"/>
      <c r="J165" s="82"/>
      <c r="K165" s="82"/>
      <c r="L165" s="82"/>
      <c r="M165" s="82"/>
      <c r="N165" s="82"/>
      <c r="O165" s="82"/>
      <c r="P165" s="82"/>
      <c r="Q165" s="82"/>
      <c r="R165" s="82"/>
      <c r="S165" s="82"/>
      <c r="T165" s="82"/>
      <c r="U165" s="82"/>
    </row>
    <row r="166" spans="3:21" x14ac:dyDescent="0.2">
      <c r="C166" s="82"/>
      <c r="D166" s="82"/>
      <c r="E166" s="82"/>
      <c r="F166" s="82"/>
      <c r="G166" s="82"/>
      <c r="H166" s="82"/>
      <c r="I166" s="82"/>
      <c r="J166" s="82"/>
      <c r="K166" s="82"/>
      <c r="L166" s="82"/>
      <c r="M166" s="82"/>
      <c r="N166" s="82"/>
      <c r="O166" s="82"/>
      <c r="P166" s="82"/>
      <c r="Q166" s="82"/>
      <c r="R166" s="82"/>
      <c r="S166" s="82"/>
      <c r="T166" s="82"/>
      <c r="U166" s="82"/>
    </row>
    <row r="167" spans="3:21" x14ac:dyDescent="0.2">
      <c r="C167" s="82"/>
      <c r="D167" s="82"/>
      <c r="E167" s="82"/>
      <c r="F167" s="82"/>
      <c r="G167" s="82"/>
      <c r="H167" s="82"/>
      <c r="I167" s="82"/>
      <c r="J167" s="82"/>
      <c r="K167" s="82"/>
      <c r="L167" s="82"/>
      <c r="M167" s="82"/>
      <c r="N167" s="82"/>
      <c r="O167" s="82"/>
      <c r="P167" s="82"/>
      <c r="Q167" s="82"/>
      <c r="R167" s="82"/>
      <c r="S167" s="82"/>
      <c r="T167" s="82"/>
      <c r="U167" s="82"/>
    </row>
    <row r="168" spans="3:21" x14ac:dyDescent="0.2">
      <c r="C168" s="82"/>
      <c r="D168" s="82"/>
      <c r="E168" s="82"/>
      <c r="F168" s="82"/>
      <c r="G168" s="82"/>
      <c r="H168" s="82"/>
      <c r="I168" s="82"/>
      <c r="J168" s="82"/>
      <c r="K168" s="82"/>
      <c r="L168" s="82"/>
      <c r="M168" s="82"/>
      <c r="N168" s="82"/>
      <c r="O168" s="82"/>
      <c r="P168" s="82"/>
      <c r="Q168" s="82"/>
      <c r="R168" s="82"/>
      <c r="S168" s="82"/>
      <c r="T168" s="82"/>
      <c r="U168" s="82"/>
    </row>
    <row r="169" spans="3:21" x14ac:dyDescent="0.2">
      <c r="C169" s="82"/>
      <c r="D169" s="82"/>
      <c r="E169" s="82"/>
      <c r="F169" s="82"/>
      <c r="G169" s="82"/>
      <c r="H169" s="82"/>
      <c r="I169" s="82"/>
      <c r="J169" s="82"/>
      <c r="K169" s="82"/>
      <c r="L169" s="82"/>
      <c r="M169" s="82"/>
      <c r="N169" s="82"/>
      <c r="O169" s="82"/>
      <c r="P169" s="82"/>
      <c r="Q169" s="82"/>
      <c r="R169" s="82"/>
      <c r="S169" s="82"/>
      <c r="T169" s="82"/>
      <c r="U169" s="82"/>
    </row>
    <row r="170" spans="3:21" x14ac:dyDescent="0.2">
      <c r="C170" s="82"/>
      <c r="D170" s="82"/>
      <c r="E170" s="82"/>
      <c r="F170" s="82"/>
      <c r="G170" s="82"/>
      <c r="H170" s="82"/>
      <c r="I170" s="82"/>
      <c r="J170" s="82"/>
      <c r="K170" s="82"/>
      <c r="L170" s="82"/>
      <c r="M170" s="82"/>
      <c r="N170" s="82"/>
      <c r="O170" s="82"/>
      <c r="P170" s="82"/>
      <c r="Q170" s="82"/>
      <c r="R170" s="82"/>
      <c r="S170" s="82"/>
      <c r="T170" s="82"/>
      <c r="U170" s="82"/>
    </row>
    <row r="171" spans="3:21" x14ac:dyDescent="0.2">
      <c r="C171" s="82"/>
      <c r="D171" s="82"/>
      <c r="E171" s="82"/>
      <c r="F171" s="82"/>
      <c r="G171" s="82"/>
      <c r="H171" s="82"/>
      <c r="I171" s="82"/>
      <c r="J171" s="82"/>
      <c r="K171" s="82"/>
      <c r="L171" s="82"/>
      <c r="M171" s="82"/>
      <c r="N171" s="82"/>
      <c r="O171" s="82"/>
      <c r="P171" s="82"/>
      <c r="Q171" s="82"/>
      <c r="R171" s="82"/>
      <c r="S171" s="82"/>
      <c r="T171" s="82"/>
      <c r="U171" s="82"/>
    </row>
    <row r="172" spans="3:21" x14ac:dyDescent="0.2">
      <c r="C172" s="82"/>
      <c r="D172" s="82"/>
      <c r="E172" s="82"/>
      <c r="F172" s="82"/>
      <c r="G172" s="82"/>
      <c r="H172" s="82"/>
      <c r="I172" s="82"/>
      <c r="J172" s="82"/>
      <c r="K172" s="82"/>
      <c r="L172" s="82"/>
      <c r="M172" s="82"/>
      <c r="N172" s="82"/>
      <c r="O172" s="82"/>
      <c r="P172" s="82"/>
      <c r="Q172" s="82"/>
      <c r="R172" s="82"/>
      <c r="S172" s="82"/>
      <c r="T172" s="82"/>
      <c r="U172" s="82"/>
    </row>
    <row r="173" spans="3:21" x14ac:dyDescent="0.2">
      <c r="C173" s="82"/>
      <c r="D173" s="82"/>
      <c r="E173" s="82"/>
      <c r="F173" s="82"/>
      <c r="G173" s="82"/>
      <c r="H173" s="82"/>
      <c r="I173" s="82"/>
      <c r="J173" s="82"/>
      <c r="K173" s="82"/>
      <c r="L173" s="82"/>
      <c r="M173" s="82"/>
      <c r="N173" s="82"/>
      <c r="O173" s="82"/>
      <c r="P173" s="82"/>
      <c r="Q173" s="82"/>
      <c r="R173" s="82"/>
      <c r="S173" s="82"/>
      <c r="T173" s="82"/>
      <c r="U173" s="82"/>
    </row>
    <row r="174" spans="3:21" x14ac:dyDescent="0.2">
      <c r="C174" s="82"/>
      <c r="D174" s="82"/>
      <c r="E174" s="82"/>
      <c r="F174" s="82"/>
      <c r="G174" s="82"/>
      <c r="H174" s="82"/>
      <c r="I174" s="82"/>
      <c r="J174" s="82"/>
      <c r="K174" s="82"/>
      <c r="L174" s="82"/>
      <c r="M174" s="82"/>
      <c r="N174" s="82"/>
      <c r="O174" s="82"/>
      <c r="P174" s="82"/>
      <c r="Q174" s="82"/>
      <c r="R174" s="82"/>
      <c r="S174" s="82"/>
      <c r="T174" s="82"/>
      <c r="U174" s="82"/>
    </row>
    <row r="175" spans="3:21" x14ac:dyDescent="0.2">
      <c r="C175" s="82"/>
      <c r="D175" s="82"/>
      <c r="E175" s="82"/>
      <c r="F175" s="82"/>
      <c r="G175" s="82"/>
      <c r="H175" s="82"/>
      <c r="I175" s="82"/>
      <c r="J175" s="82"/>
      <c r="K175" s="82"/>
      <c r="L175" s="82"/>
      <c r="M175" s="82"/>
      <c r="N175" s="82"/>
      <c r="O175" s="82"/>
      <c r="P175" s="82"/>
      <c r="Q175" s="82"/>
      <c r="R175" s="82"/>
      <c r="S175" s="82"/>
      <c r="T175" s="82"/>
      <c r="U175" s="82"/>
    </row>
    <row r="176" spans="3:21" x14ac:dyDescent="0.2">
      <c r="C176" s="82"/>
      <c r="D176" s="82"/>
      <c r="E176" s="82"/>
      <c r="F176" s="82"/>
      <c r="G176" s="82"/>
      <c r="H176" s="82"/>
      <c r="I176" s="82"/>
      <c r="J176" s="82"/>
      <c r="K176" s="82"/>
      <c r="L176" s="82"/>
      <c r="M176" s="82"/>
      <c r="N176" s="82"/>
      <c r="O176" s="82"/>
      <c r="P176" s="82"/>
      <c r="Q176" s="82"/>
      <c r="R176" s="82"/>
      <c r="S176" s="82"/>
      <c r="T176" s="82"/>
      <c r="U176" s="82"/>
    </row>
    <row r="177" spans="3:21" x14ac:dyDescent="0.2">
      <c r="C177" s="82"/>
      <c r="D177" s="82"/>
      <c r="E177" s="82"/>
      <c r="F177" s="82"/>
      <c r="G177" s="82"/>
      <c r="H177" s="82"/>
      <c r="I177" s="82"/>
      <c r="J177" s="82"/>
      <c r="K177" s="82"/>
      <c r="L177" s="82"/>
      <c r="M177" s="82"/>
      <c r="N177" s="82"/>
      <c r="O177" s="82"/>
      <c r="P177" s="82"/>
      <c r="Q177" s="82"/>
      <c r="R177" s="82"/>
      <c r="S177" s="82"/>
      <c r="T177" s="82"/>
      <c r="U177" s="82"/>
    </row>
    <row r="178" spans="3:21" x14ac:dyDescent="0.2">
      <c r="C178" s="82"/>
      <c r="D178" s="82"/>
      <c r="E178" s="82"/>
      <c r="F178" s="82"/>
      <c r="G178" s="82"/>
      <c r="H178" s="82"/>
      <c r="I178" s="82"/>
      <c r="J178" s="82"/>
      <c r="K178" s="82"/>
      <c r="L178" s="82"/>
      <c r="M178" s="82"/>
      <c r="N178" s="82"/>
      <c r="O178" s="82"/>
      <c r="P178" s="82"/>
      <c r="Q178" s="82"/>
      <c r="R178" s="82"/>
      <c r="S178" s="82"/>
      <c r="T178" s="82"/>
      <c r="U178" s="82"/>
    </row>
    <row r="179" spans="3:21" x14ac:dyDescent="0.2">
      <c r="C179" s="82"/>
      <c r="D179" s="82"/>
      <c r="E179" s="82"/>
      <c r="F179" s="82"/>
      <c r="G179" s="82"/>
      <c r="H179" s="82"/>
      <c r="I179" s="82"/>
      <c r="J179" s="82"/>
      <c r="K179" s="82"/>
      <c r="L179" s="82"/>
      <c r="M179" s="82"/>
      <c r="N179" s="82"/>
      <c r="O179" s="82"/>
      <c r="P179" s="82"/>
      <c r="Q179" s="82"/>
      <c r="R179" s="82"/>
      <c r="S179" s="82"/>
      <c r="T179" s="82"/>
      <c r="U179" s="82"/>
    </row>
    <row r="180" spans="3:21" x14ac:dyDescent="0.2">
      <c r="C180" s="82"/>
      <c r="D180" s="82"/>
      <c r="E180" s="82"/>
      <c r="F180" s="82"/>
      <c r="G180" s="82"/>
      <c r="H180" s="82"/>
      <c r="I180" s="82"/>
      <c r="J180" s="82"/>
      <c r="K180" s="82"/>
      <c r="L180" s="82"/>
      <c r="M180" s="82"/>
      <c r="N180" s="82"/>
      <c r="O180" s="82"/>
      <c r="P180" s="82"/>
      <c r="Q180" s="82"/>
      <c r="R180" s="82"/>
      <c r="S180" s="82"/>
      <c r="T180" s="82"/>
      <c r="U180" s="82"/>
    </row>
    <row r="181" spans="3:21" x14ac:dyDescent="0.2">
      <c r="C181" s="82"/>
      <c r="D181" s="82"/>
      <c r="E181" s="82"/>
      <c r="F181" s="82"/>
      <c r="G181" s="82"/>
      <c r="H181" s="82"/>
      <c r="I181" s="82"/>
      <c r="J181" s="82"/>
      <c r="K181" s="82"/>
      <c r="L181" s="82"/>
      <c r="M181" s="82"/>
      <c r="N181" s="82"/>
      <c r="O181" s="82"/>
      <c r="P181" s="82"/>
      <c r="Q181" s="82"/>
      <c r="R181" s="82"/>
      <c r="S181" s="82"/>
      <c r="T181" s="82"/>
      <c r="U181" s="82"/>
    </row>
    <row r="182" spans="3:21" x14ac:dyDescent="0.2">
      <c r="C182" s="82"/>
      <c r="D182" s="82"/>
      <c r="E182" s="82"/>
      <c r="F182" s="82"/>
      <c r="G182" s="82"/>
      <c r="H182" s="82"/>
      <c r="I182" s="82"/>
      <c r="J182" s="82"/>
      <c r="K182" s="82"/>
      <c r="L182" s="82"/>
      <c r="M182" s="82"/>
      <c r="N182" s="82"/>
      <c r="O182" s="82"/>
      <c r="P182" s="82"/>
      <c r="Q182" s="82"/>
      <c r="R182" s="82"/>
      <c r="S182" s="82"/>
      <c r="T182" s="82"/>
      <c r="U182" s="82"/>
    </row>
    <row r="183" spans="3:21" x14ac:dyDescent="0.2">
      <c r="C183" s="82"/>
      <c r="D183" s="82"/>
      <c r="E183" s="82"/>
      <c r="F183" s="82"/>
      <c r="G183" s="82"/>
      <c r="H183" s="82"/>
      <c r="I183" s="82"/>
      <c r="J183" s="82"/>
      <c r="K183" s="82"/>
      <c r="L183" s="82"/>
      <c r="M183" s="82"/>
      <c r="N183" s="82"/>
      <c r="O183" s="82"/>
      <c r="P183" s="82"/>
      <c r="Q183" s="82"/>
      <c r="R183" s="82"/>
      <c r="S183" s="82"/>
      <c r="T183" s="82"/>
      <c r="U183" s="82"/>
    </row>
    <row r="184" spans="3:21" x14ac:dyDescent="0.2">
      <c r="C184" s="82"/>
      <c r="D184" s="82"/>
      <c r="E184" s="82"/>
      <c r="F184" s="82"/>
      <c r="G184" s="82"/>
      <c r="H184" s="82"/>
      <c r="I184" s="82"/>
      <c r="J184" s="82"/>
      <c r="K184" s="82"/>
      <c r="L184" s="82"/>
      <c r="M184" s="82"/>
      <c r="N184" s="82"/>
      <c r="O184" s="82"/>
      <c r="P184" s="82"/>
      <c r="Q184" s="82"/>
      <c r="R184" s="82"/>
      <c r="S184" s="82"/>
      <c r="T184" s="82"/>
      <c r="U184" s="82"/>
    </row>
    <row r="185" spans="3:21" x14ac:dyDescent="0.2">
      <c r="C185" s="82"/>
      <c r="D185" s="82"/>
      <c r="E185" s="82"/>
      <c r="F185" s="82"/>
      <c r="G185" s="82"/>
      <c r="H185" s="82"/>
      <c r="I185" s="82"/>
      <c r="J185" s="82"/>
      <c r="K185" s="82"/>
      <c r="L185" s="82"/>
      <c r="M185" s="82"/>
      <c r="N185" s="82"/>
      <c r="O185" s="82"/>
      <c r="P185" s="82"/>
      <c r="Q185" s="82"/>
      <c r="R185" s="82"/>
      <c r="S185" s="82"/>
      <c r="T185" s="82"/>
      <c r="U185" s="82"/>
    </row>
    <row r="186" spans="3:21" x14ac:dyDescent="0.2">
      <c r="C186" s="82"/>
      <c r="D186" s="82"/>
      <c r="E186" s="82"/>
      <c r="F186" s="82"/>
      <c r="G186" s="82"/>
      <c r="H186" s="82"/>
      <c r="I186" s="82"/>
      <c r="J186" s="82"/>
      <c r="K186" s="82"/>
      <c r="L186" s="82"/>
      <c r="M186" s="82"/>
      <c r="N186" s="82"/>
      <c r="O186" s="82"/>
      <c r="P186" s="82"/>
      <c r="Q186" s="82"/>
      <c r="R186" s="82"/>
      <c r="S186" s="82"/>
      <c r="T186" s="82"/>
      <c r="U186" s="82"/>
    </row>
    <row r="187" spans="3:21" x14ac:dyDescent="0.2">
      <c r="C187" s="82"/>
      <c r="D187" s="82"/>
      <c r="E187" s="82"/>
      <c r="F187" s="82"/>
      <c r="G187" s="82"/>
      <c r="H187" s="82"/>
      <c r="I187" s="82"/>
      <c r="J187" s="82"/>
      <c r="K187" s="82"/>
      <c r="L187" s="82"/>
      <c r="M187" s="82"/>
      <c r="N187" s="82"/>
      <c r="O187" s="82"/>
      <c r="P187" s="82"/>
      <c r="Q187" s="82"/>
      <c r="R187" s="82"/>
      <c r="S187" s="82"/>
      <c r="T187" s="82"/>
      <c r="U187" s="82"/>
    </row>
    <row r="188" spans="3:21" x14ac:dyDescent="0.2">
      <c r="C188" s="82"/>
      <c r="D188" s="82"/>
      <c r="E188" s="82"/>
      <c r="F188" s="82"/>
      <c r="G188" s="82"/>
      <c r="H188" s="82"/>
      <c r="I188" s="82"/>
      <c r="J188" s="82"/>
      <c r="K188" s="82"/>
      <c r="L188" s="82"/>
      <c r="M188" s="82"/>
      <c r="N188" s="82"/>
      <c r="O188" s="82"/>
      <c r="P188" s="82"/>
      <c r="Q188" s="82"/>
      <c r="R188" s="82"/>
      <c r="S188" s="82"/>
      <c r="T188" s="82"/>
      <c r="U188" s="82"/>
    </row>
    <row r="189" spans="3:21" x14ac:dyDescent="0.2">
      <c r="C189" s="82"/>
      <c r="D189" s="82"/>
      <c r="E189" s="82"/>
      <c r="F189" s="82"/>
      <c r="G189" s="82"/>
      <c r="H189" s="82"/>
      <c r="I189" s="82"/>
      <c r="J189" s="82"/>
      <c r="K189" s="82"/>
      <c r="L189" s="82"/>
      <c r="M189" s="82"/>
      <c r="N189" s="82"/>
      <c r="O189" s="82"/>
      <c r="P189" s="82"/>
      <c r="Q189" s="82"/>
      <c r="R189" s="82"/>
      <c r="S189" s="82"/>
      <c r="T189" s="82"/>
      <c r="U189" s="82"/>
    </row>
    <row r="190" spans="3:21" x14ac:dyDescent="0.2">
      <c r="C190" s="82"/>
      <c r="D190" s="82"/>
      <c r="E190" s="82"/>
      <c r="F190" s="82"/>
      <c r="G190" s="82"/>
      <c r="H190" s="82"/>
      <c r="I190" s="82"/>
      <c r="J190" s="82"/>
      <c r="K190" s="82"/>
      <c r="L190" s="82"/>
      <c r="M190" s="82"/>
      <c r="N190" s="82"/>
      <c r="O190" s="82"/>
      <c r="P190" s="82"/>
      <c r="Q190" s="82"/>
      <c r="R190" s="82"/>
      <c r="S190" s="82"/>
      <c r="T190" s="82"/>
      <c r="U190" s="82"/>
    </row>
    <row r="191" spans="3:21" x14ac:dyDescent="0.2">
      <c r="C191" s="82"/>
      <c r="D191" s="82"/>
      <c r="E191" s="82"/>
      <c r="F191" s="82"/>
      <c r="G191" s="82"/>
      <c r="H191" s="82"/>
      <c r="I191" s="82"/>
      <c r="J191" s="82"/>
      <c r="K191" s="82"/>
      <c r="L191" s="82"/>
      <c r="M191" s="82"/>
      <c r="N191" s="82"/>
      <c r="O191" s="82"/>
      <c r="P191" s="82"/>
      <c r="Q191" s="82"/>
      <c r="R191" s="82"/>
      <c r="S191" s="82"/>
      <c r="T191" s="82"/>
      <c r="U191" s="82"/>
    </row>
    <row r="192" spans="3:21" x14ac:dyDescent="0.2">
      <c r="C192" s="82"/>
      <c r="D192" s="82"/>
      <c r="E192" s="82"/>
      <c r="F192" s="82"/>
      <c r="G192" s="82"/>
      <c r="H192" s="82"/>
      <c r="I192" s="82"/>
      <c r="J192" s="82"/>
      <c r="K192" s="82"/>
      <c r="L192" s="82"/>
      <c r="M192" s="82"/>
      <c r="N192" s="82"/>
      <c r="O192" s="82"/>
      <c r="P192" s="82"/>
      <c r="Q192" s="82"/>
      <c r="R192" s="82"/>
      <c r="S192" s="82"/>
      <c r="T192" s="82"/>
      <c r="U192" s="82"/>
    </row>
    <row r="193" spans="3:21" x14ac:dyDescent="0.2">
      <c r="C193" s="82"/>
      <c r="D193" s="82"/>
      <c r="E193" s="82"/>
      <c r="F193" s="82"/>
      <c r="G193" s="82"/>
      <c r="H193" s="82"/>
      <c r="I193" s="82"/>
      <c r="J193" s="82"/>
      <c r="K193" s="82"/>
      <c r="L193" s="82"/>
      <c r="M193" s="82"/>
      <c r="N193" s="82"/>
      <c r="O193" s="82"/>
      <c r="P193" s="82"/>
      <c r="Q193" s="82"/>
      <c r="R193" s="82"/>
      <c r="S193" s="82"/>
      <c r="T193" s="82"/>
      <c r="U193" s="82"/>
    </row>
    <row r="194" spans="3:21" x14ac:dyDescent="0.2">
      <c r="C194" s="82"/>
      <c r="D194" s="82"/>
      <c r="E194" s="82"/>
      <c r="F194" s="82"/>
      <c r="G194" s="82"/>
      <c r="H194" s="82"/>
      <c r="I194" s="82"/>
      <c r="J194" s="82"/>
      <c r="K194" s="82"/>
      <c r="L194" s="82"/>
      <c r="M194" s="82"/>
      <c r="N194" s="82"/>
      <c r="O194" s="82"/>
      <c r="P194" s="82"/>
      <c r="Q194" s="82"/>
      <c r="R194" s="82"/>
      <c r="S194" s="82"/>
      <c r="T194" s="82"/>
      <c r="U194" s="82"/>
    </row>
    <row r="195" spans="3:21" x14ac:dyDescent="0.2">
      <c r="C195" s="82"/>
      <c r="D195" s="82"/>
      <c r="E195" s="82"/>
      <c r="F195" s="82"/>
      <c r="G195" s="82"/>
      <c r="H195" s="82"/>
      <c r="I195" s="82"/>
      <c r="J195" s="82"/>
      <c r="K195" s="82"/>
      <c r="L195" s="82"/>
      <c r="M195" s="82"/>
      <c r="N195" s="82"/>
      <c r="O195" s="82"/>
      <c r="P195" s="82"/>
      <c r="Q195" s="82"/>
      <c r="R195" s="82"/>
      <c r="S195" s="82"/>
      <c r="T195" s="82"/>
      <c r="U195" s="82"/>
    </row>
    <row r="196" spans="3:21" x14ac:dyDescent="0.2">
      <c r="C196" s="82"/>
      <c r="D196" s="82"/>
      <c r="E196" s="82"/>
      <c r="F196" s="82"/>
      <c r="G196" s="82"/>
      <c r="H196" s="82"/>
      <c r="I196" s="82"/>
      <c r="J196" s="82"/>
      <c r="K196" s="82"/>
      <c r="L196" s="82"/>
      <c r="M196" s="82"/>
      <c r="N196" s="82"/>
      <c r="O196" s="82"/>
      <c r="P196" s="82"/>
      <c r="Q196" s="82"/>
      <c r="R196" s="82"/>
      <c r="S196" s="82"/>
      <c r="T196" s="82"/>
      <c r="U196" s="82"/>
    </row>
    <row r="197" spans="3:21" x14ac:dyDescent="0.2">
      <c r="C197" s="82"/>
      <c r="D197" s="82"/>
      <c r="E197" s="82"/>
      <c r="F197" s="82"/>
      <c r="G197" s="82"/>
      <c r="H197" s="82"/>
      <c r="I197" s="82"/>
      <c r="J197" s="82"/>
      <c r="K197" s="82"/>
      <c r="L197" s="82"/>
      <c r="M197" s="82"/>
      <c r="N197" s="82"/>
      <c r="O197" s="82"/>
      <c r="P197" s="82"/>
      <c r="Q197" s="82"/>
      <c r="R197" s="82"/>
      <c r="S197" s="82"/>
      <c r="T197" s="82"/>
      <c r="U197" s="82"/>
    </row>
    <row r="198" spans="3:21" x14ac:dyDescent="0.2">
      <c r="C198" s="82"/>
      <c r="D198" s="82"/>
      <c r="E198" s="82"/>
      <c r="F198" s="82"/>
      <c r="G198" s="82"/>
      <c r="H198" s="82"/>
      <c r="I198" s="82"/>
      <c r="J198" s="82"/>
      <c r="K198" s="82"/>
      <c r="L198" s="82"/>
      <c r="M198" s="82"/>
      <c r="N198" s="82"/>
      <c r="O198" s="82"/>
      <c r="P198" s="82"/>
      <c r="Q198" s="82"/>
      <c r="R198" s="82"/>
      <c r="S198" s="82"/>
      <c r="T198" s="82"/>
      <c r="U198" s="82"/>
    </row>
    <row r="199" spans="3:21" x14ac:dyDescent="0.2">
      <c r="C199" s="82"/>
      <c r="D199" s="82"/>
      <c r="E199" s="82"/>
      <c r="F199" s="82"/>
      <c r="G199" s="82"/>
      <c r="H199" s="82"/>
      <c r="I199" s="82"/>
      <c r="J199" s="82"/>
      <c r="K199" s="82"/>
      <c r="L199" s="82"/>
      <c r="M199" s="82"/>
      <c r="N199" s="82"/>
      <c r="O199" s="82"/>
      <c r="P199" s="82"/>
      <c r="Q199" s="82"/>
      <c r="R199" s="82"/>
      <c r="S199" s="82"/>
      <c r="T199" s="82"/>
      <c r="U199" s="82"/>
    </row>
    <row r="200" spans="3:21" x14ac:dyDescent="0.2">
      <c r="C200" s="82"/>
      <c r="D200" s="82"/>
      <c r="E200" s="82"/>
      <c r="F200" s="82"/>
      <c r="G200" s="82"/>
      <c r="H200" s="82"/>
      <c r="I200" s="82"/>
      <c r="J200" s="82"/>
      <c r="K200" s="82"/>
      <c r="L200" s="82"/>
      <c r="M200" s="82"/>
      <c r="N200" s="82"/>
      <c r="O200" s="82"/>
      <c r="P200" s="82"/>
      <c r="Q200" s="82"/>
      <c r="R200" s="82"/>
      <c r="S200" s="82"/>
      <c r="T200" s="82"/>
      <c r="U200" s="82"/>
    </row>
    <row r="201" spans="3:21" x14ac:dyDescent="0.2">
      <c r="C201" s="82"/>
      <c r="D201" s="82"/>
      <c r="E201" s="82"/>
      <c r="F201" s="82"/>
      <c r="G201" s="82"/>
      <c r="H201" s="82"/>
      <c r="I201" s="82"/>
      <c r="J201" s="82"/>
      <c r="K201" s="82"/>
      <c r="L201" s="82"/>
      <c r="M201" s="82"/>
      <c r="N201" s="82"/>
      <c r="O201" s="82"/>
      <c r="P201" s="82"/>
      <c r="Q201" s="82"/>
      <c r="R201" s="82"/>
      <c r="S201" s="82"/>
      <c r="T201" s="82"/>
      <c r="U201" s="82"/>
    </row>
    <row r="202" spans="3:21" x14ac:dyDescent="0.2">
      <c r="C202" s="82"/>
      <c r="D202" s="82"/>
      <c r="E202" s="82"/>
      <c r="F202" s="82"/>
      <c r="G202" s="82"/>
      <c r="H202" s="82"/>
      <c r="I202" s="82"/>
      <c r="J202" s="82"/>
      <c r="K202" s="82"/>
      <c r="L202" s="82"/>
      <c r="M202" s="82"/>
      <c r="N202" s="82"/>
      <c r="O202" s="82"/>
      <c r="P202" s="82"/>
      <c r="Q202" s="82"/>
      <c r="R202" s="82"/>
      <c r="S202" s="82"/>
      <c r="T202" s="82"/>
      <c r="U202" s="82"/>
    </row>
    <row r="203" spans="3:21" x14ac:dyDescent="0.2">
      <c r="C203" s="82"/>
      <c r="D203" s="82"/>
      <c r="E203" s="82"/>
      <c r="F203" s="82"/>
      <c r="G203" s="82"/>
      <c r="H203" s="82"/>
      <c r="I203" s="82"/>
      <c r="J203" s="82"/>
      <c r="K203" s="82"/>
      <c r="L203" s="82"/>
      <c r="M203" s="82"/>
      <c r="N203" s="82"/>
      <c r="O203" s="82"/>
      <c r="P203" s="82"/>
      <c r="Q203" s="82"/>
      <c r="R203" s="82"/>
      <c r="S203" s="82"/>
      <c r="T203" s="82"/>
      <c r="U203" s="82"/>
    </row>
  </sheetData>
  <sheetProtection algorithmName="SHA-512" hashValue="T/IBv4QzV8h1huvPzXEtp78/b4Uvk7ms/okvVFK3YxKgKljS4lVtMw1EPWqrCWHMK2h+qhxftkmb/PjuZt/JrQ==" saltValue="8Vp9eBIpWkdp7s+UQ1re9w==" spinCount="100000" sheet="1" objects="1" scenarios="1"/>
  <autoFilter ref="A1:W42" xr:uid="{00000000-0001-0000-0900-000000000000}"/>
  <phoneticPr fontId="130" type="noConversion"/>
  <pageMargins left="0.70866141732283472" right="0.70866141732283472" top="0.74803149606299213" bottom="0.74803149606299213" header="0.31496062992125984" footer="0.31496062992125984"/>
  <pageSetup scale="51" orientation="landscape" horizontalDpi="4294967294" verticalDpi="4294967294" r:id="rId1"/>
  <headerFooter>
    <oddHeader>&amp;L&amp;G&amp;C
MATRIZ DE RIESGOS</oddHeader>
    <oddFooter>&amp;RCódigo:E-02-F-014
Versión: 5 
Fecha: Ver Isolución</oddFooter>
  </headerFooter>
  <rowBreaks count="1" manualBreakCount="1">
    <brk id="42" max="16383"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87D96FE2-D5FB-45B9-BEAA-E2F7548F46F0}">
          <x14:formula1>
            <xm:f>'Base corrupción'!$D$69:$D$70</xm:f>
          </x14:formula1>
          <xm:sqref>C28:U42 C7:U9 C11:U19 C21:U25 C2:U5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BABEC-4D3A-4185-B14B-59488139C705}">
  <sheetPr>
    <tabColor rgb="FFFFFF00"/>
  </sheetPr>
  <dimension ref="A1:BB106"/>
  <sheetViews>
    <sheetView zoomScaleNormal="100" workbookViewId="0">
      <pane ySplit="2" topLeftCell="A3" activePane="bottomLeft" state="frozen"/>
      <selection activeCell="BU1" sqref="BU1"/>
      <selection pane="bottomLeft" activeCell="E3" sqref="E3"/>
    </sheetView>
  </sheetViews>
  <sheetFormatPr baseColWidth="10" defaultColWidth="9" defaultRowHeight="11.25" x14ac:dyDescent="0.2"/>
  <cols>
    <col min="1" max="1" width="4.375" style="374" customWidth="1"/>
    <col min="2" max="2" width="7.75" style="374" customWidth="1"/>
    <col min="3" max="3" width="8.875" style="375" customWidth="1"/>
    <col min="4" max="4" width="25.875" style="375" customWidth="1"/>
    <col min="5" max="5" width="31.5" style="375" customWidth="1"/>
    <col min="6" max="6" width="19.75" style="374" customWidth="1"/>
    <col min="7" max="7" width="29.875" style="374" customWidth="1"/>
    <col min="8" max="8" width="19.75" style="374" customWidth="1"/>
    <col min="9" max="9" width="13.25" style="375" customWidth="1"/>
    <col min="10" max="10" width="27" style="375" customWidth="1"/>
    <col min="11" max="12" width="15.625" style="375" customWidth="1"/>
    <col min="13" max="13" width="17" style="375" customWidth="1"/>
    <col min="14" max="14" width="18.375" style="375" customWidth="1"/>
    <col min="15" max="15" width="20.25" style="375" customWidth="1"/>
    <col min="16" max="16" width="11.875" style="375" customWidth="1"/>
    <col min="17" max="17" width="11.375" style="375" customWidth="1"/>
    <col min="18" max="18" width="7.5" style="375" customWidth="1"/>
    <col min="19" max="19" width="11.875" style="375" customWidth="1"/>
    <col min="20" max="20" width="67" style="616" customWidth="1"/>
    <col min="21" max="21" width="8" style="375" customWidth="1"/>
    <col min="22" max="22" width="8.25" style="375" customWidth="1"/>
    <col min="23" max="23" width="10.5" style="375" customWidth="1"/>
    <col min="24" max="24" width="10.875" style="375" customWidth="1"/>
    <col min="25" max="25" width="9.25" style="375" customWidth="1"/>
    <col min="26" max="26" width="8.125" style="375" customWidth="1"/>
    <col min="27" max="27" width="12.5" style="375" customWidth="1"/>
    <col min="28" max="28" width="19.375" style="375" customWidth="1"/>
    <col min="29" max="29" width="12.5" style="375" customWidth="1"/>
    <col min="30" max="30" width="10.25" style="375" customWidth="1"/>
    <col min="31" max="31" width="12.5" style="375" customWidth="1"/>
    <col min="32" max="32" width="10.5" style="375" customWidth="1"/>
    <col min="33" max="33" width="8.75" style="375" customWidth="1"/>
    <col min="34" max="34" width="10.5" style="375" customWidth="1"/>
    <col min="35" max="35" width="12.5" style="375" customWidth="1"/>
    <col min="36" max="36" width="9.5" style="375" customWidth="1"/>
    <col min="37" max="37" width="15.875" style="375" customWidth="1"/>
    <col min="38" max="38" width="16.125" style="375" customWidth="1"/>
    <col min="39" max="39" width="14.5" style="375" customWidth="1"/>
    <col min="40" max="40" width="8.875" style="375" customWidth="1"/>
    <col min="41" max="41" width="13.25" style="375" customWidth="1"/>
    <col min="42" max="43" width="12.5" style="375" customWidth="1"/>
    <col min="44" max="44" width="9.5" style="375" customWidth="1"/>
    <col min="45" max="45" width="9.125" style="375" customWidth="1"/>
    <col min="46" max="46" width="10.875" style="375" customWidth="1"/>
    <col min="47" max="48" width="15.25" style="375" customWidth="1"/>
    <col min="49" max="49" width="8.875" style="375" customWidth="1"/>
    <col min="50" max="50" width="31.625" style="375" customWidth="1"/>
    <col min="51" max="51" width="19.5" style="375" customWidth="1"/>
    <col min="52" max="52" width="15.125" style="374" customWidth="1"/>
    <col min="53" max="53" width="15.375" style="375" customWidth="1"/>
    <col min="54" max="54" width="17" style="375" customWidth="1"/>
    <col min="55" max="16384" width="9" style="375"/>
  </cols>
  <sheetData>
    <row r="1" spans="1:54" ht="28.5" customHeight="1" x14ac:dyDescent="0.2"/>
    <row r="2" spans="1:54" ht="45" customHeight="1" x14ac:dyDescent="0.2">
      <c r="A2" s="376" t="s">
        <v>1479</v>
      </c>
      <c r="B2" s="376" t="s">
        <v>1313</v>
      </c>
      <c r="C2" s="376" t="s">
        <v>1480</v>
      </c>
      <c r="D2" s="376" t="s">
        <v>1315</v>
      </c>
      <c r="E2" s="376" t="s">
        <v>1312</v>
      </c>
      <c r="F2" s="376" t="s">
        <v>86</v>
      </c>
      <c r="G2" s="376" t="s">
        <v>88</v>
      </c>
      <c r="H2" s="376" t="s">
        <v>90</v>
      </c>
      <c r="I2" s="376" t="s">
        <v>1319</v>
      </c>
      <c r="J2" s="376" t="s">
        <v>1321</v>
      </c>
      <c r="K2" s="376" t="s">
        <v>1323</v>
      </c>
      <c r="L2" s="376" t="s">
        <v>1325</v>
      </c>
      <c r="M2" s="376" t="s">
        <v>1327</v>
      </c>
      <c r="N2" s="376" t="s">
        <v>1329</v>
      </c>
      <c r="O2" s="376" t="s">
        <v>1331</v>
      </c>
      <c r="P2" s="376" t="s">
        <v>2</v>
      </c>
      <c r="Q2" s="376" t="s">
        <v>1</v>
      </c>
      <c r="R2" s="376" t="s">
        <v>1335</v>
      </c>
      <c r="S2" s="376" t="s">
        <v>1337</v>
      </c>
      <c r="T2" s="617" t="s">
        <v>1339</v>
      </c>
      <c r="U2" s="376" t="s">
        <v>1341</v>
      </c>
      <c r="V2" s="376" t="s">
        <v>1343</v>
      </c>
      <c r="W2" s="376" t="s">
        <v>1345</v>
      </c>
      <c r="X2" s="376" t="s">
        <v>1347</v>
      </c>
      <c r="Y2" s="376" t="s">
        <v>1349</v>
      </c>
      <c r="Z2" s="376" t="s">
        <v>1351</v>
      </c>
      <c r="AA2" s="376" t="s">
        <v>1353</v>
      </c>
      <c r="AB2" s="376" t="s">
        <v>1355</v>
      </c>
      <c r="AC2" s="376" t="s">
        <v>1357</v>
      </c>
      <c r="AD2" s="377" t="s">
        <v>1345</v>
      </c>
      <c r="AE2" s="377" t="s">
        <v>1347</v>
      </c>
      <c r="AF2" s="377" t="s">
        <v>1349</v>
      </c>
      <c r="AG2" s="377" t="s">
        <v>1351</v>
      </c>
      <c r="AH2" s="377" t="s">
        <v>1353</v>
      </c>
      <c r="AI2" s="377" t="s">
        <v>1355</v>
      </c>
      <c r="AJ2" s="377" t="s">
        <v>1357</v>
      </c>
      <c r="AK2" s="378" t="s">
        <v>1366</v>
      </c>
      <c r="AL2" s="378" t="s">
        <v>1368</v>
      </c>
      <c r="AM2" s="379" t="s">
        <v>1370</v>
      </c>
      <c r="AN2" s="380" t="s">
        <v>1372</v>
      </c>
      <c r="AO2" s="380" t="s">
        <v>1374</v>
      </c>
      <c r="AP2" s="380" t="s">
        <v>1376</v>
      </c>
      <c r="AQ2" s="380" t="s">
        <v>1378</v>
      </c>
      <c r="AR2" s="376" t="s">
        <v>1380</v>
      </c>
      <c r="AS2" s="376" t="s">
        <v>1382</v>
      </c>
      <c r="AT2" s="376" t="s">
        <v>1384</v>
      </c>
      <c r="AU2" s="376" t="s">
        <v>1386</v>
      </c>
      <c r="AV2" s="376" t="s">
        <v>1388</v>
      </c>
      <c r="AW2" s="376" t="s">
        <v>1390</v>
      </c>
      <c r="AX2" s="376" t="s">
        <v>1481</v>
      </c>
      <c r="AY2" s="376" t="s">
        <v>163</v>
      </c>
      <c r="AZ2" s="376" t="s">
        <v>164</v>
      </c>
      <c r="BA2" s="376" t="s">
        <v>1396</v>
      </c>
      <c r="BB2" s="376" t="s">
        <v>1398</v>
      </c>
    </row>
    <row r="3" spans="1:54" s="268" customFormat="1" ht="244.5" customHeight="1" x14ac:dyDescent="0.2">
      <c r="A3" s="289">
        <v>1</v>
      </c>
      <c r="B3" s="289" t="s">
        <v>1423</v>
      </c>
      <c r="C3" s="270"/>
      <c r="D3" s="290" t="s">
        <v>1424</v>
      </c>
      <c r="E3" s="290" t="s">
        <v>1482</v>
      </c>
      <c r="F3" s="269" t="s">
        <v>756</v>
      </c>
      <c r="G3" s="269">
        <v>0</v>
      </c>
      <c r="H3" s="269" t="s">
        <v>1483</v>
      </c>
      <c r="I3" s="291" t="s">
        <v>1484</v>
      </c>
      <c r="J3" s="292" t="s">
        <v>1485</v>
      </c>
      <c r="K3" s="290" t="s">
        <v>1486</v>
      </c>
      <c r="L3" s="290" t="s">
        <v>1487</v>
      </c>
      <c r="M3" s="292" t="s">
        <v>1486</v>
      </c>
      <c r="N3" s="290" t="s">
        <v>1488</v>
      </c>
      <c r="O3" s="290" t="s">
        <v>1489</v>
      </c>
      <c r="P3" s="291" t="s">
        <v>1304</v>
      </c>
      <c r="Q3" s="291" t="s">
        <v>281</v>
      </c>
      <c r="R3" s="290" t="e">
        <f t="shared" ref="R3:R13" si="0">IF(OR(P3="",Q3=""),"",VLOOKUP(VALUE(CONCATENATE(VLOOKUP(Q3,TImpacto,2,FALSE),VLOOKUP(P3,TProbabilidad,2,FALSE))),TMapaCalor,2,FALSE))</f>
        <v>#REF!</v>
      </c>
      <c r="S3" s="291" t="s">
        <v>1490</v>
      </c>
      <c r="T3" s="583" t="s">
        <v>1491</v>
      </c>
      <c r="U3" s="293">
        <v>1</v>
      </c>
      <c r="V3" s="294" t="s">
        <v>187</v>
      </c>
      <c r="W3" s="294" t="s">
        <v>1492</v>
      </c>
      <c r="X3" s="294" t="s">
        <v>1493</v>
      </c>
      <c r="Y3" s="294" t="s">
        <v>1494</v>
      </c>
      <c r="Z3" s="294" t="s">
        <v>1495</v>
      </c>
      <c r="AA3" s="294" t="s">
        <v>1496</v>
      </c>
      <c r="AB3" s="294" t="s">
        <v>1497</v>
      </c>
      <c r="AC3" s="294" t="s">
        <v>1498</v>
      </c>
      <c r="AD3" s="295">
        <f t="shared" ref="AD3:AD36" si="1">IF(W3="Asignado",15,IF(W3="No asignado",0,"Seleccione"))</f>
        <v>15</v>
      </c>
      <c r="AE3" s="295">
        <f t="shared" ref="AE3:AE36" si="2">IF(X3="Adecuado",15,IF(X3="Inadecuado",0,"Seleccione"))</f>
        <v>15</v>
      </c>
      <c r="AF3" s="295">
        <f t="shared" ref="AF3:AF59" si="3">IF(Y3="Oportuna",15,IF(Y3="Inoportuna",0,"Seleccione"))</f>
        <v>15</v>
      </c>
      <c r="AG3" s="295">
        <f t="shared" ref="AG3:AG59" si="4">IF(Z3="Prevenir",15,IF(Z3="Detectar",10,IF(Z3="No es un Control",0,"Seleccione")))</f>
        <v>15</v>
      </c>
      <c r="AH3" s="295">
        <f t="shared" ref="AH3:AH59" si="5">IF(AA3="Confiable",15,IF(AA3="No confiable",0,"Seleccione"))</f>
        <v>15</v>
      </c>
      <c r="AI3" s="295">
        <f t="shared" ref="AI3:AI59" si="6">IF(AB3="Se investigan y resuelven oportunamente",15,IF(AB3="No se investigan y resuelven oportunamente",0,"Seleccione"))</f>
        <v>15</v>
      </c>
      <c r="AJ3" s="295">
        <f t="shared" ref="AJ3:AJ59" si="7">IF(AC3="Completa",10,IF(AC3="Incompleta",5,IF(AC3="No existe",0,"Seleccione")))</f>
        <v>10</v>
      </c>
      <c r="AK3" s="295">
        <f t="shared" ref="AK3:AK36" si="8">IF(COUNTBLANK(W3:AC3)&gt;0,"Complete las respuestas",SUM(AD3:AJ3))</f>
        <v>100</v>
      </c>
      <c r="AL3" s="295" t="str">
        <f>IF(AK3&lt;86,"Débil",IF(AND(AK3&gt;85,AK3&lt;96),"Moderado",IF(AND(AK3&gt;95,AK3&lt;101),"Fuerte","Verifique respuestas")))</f>
        <v>Fuerte</v>
      </c>
      <c r="AM3" s="294" t="s">
        <v>1499</v>
      </c>
      <c r="AN3" s="295" t="str">
        <f>IF(AND(AL3="Fuerte",AM3="Fuerte"),"Fuerte",IF(OR(AND(AL3="Fuerte",AM3="Moderado"),AND(AL3="Moderado",AM3="Fuerte"),AND(AL3="Moderado",AM3="Moderado")),"Moderado",IF(OR(AND(AL3="Fuerte",AM3="Débil"),AND(AL3="Moderado",AM3="Débil"),AND(AL3="Débil",AM3="Fuerte"),AND(AL3="Débil",AM3="Moderado"),AND(AL3="Débil",AM3="Débil")),"Débil","Verifique respuestas")))</f>
        <v>Fuerte</v>
      </c>
      <c r="AO3" s="295">
        <f t="shared" ref="AO3:AO59" si="9">IF(AN3="Fuerte",100,IF(AN3="Moderado",50,IF(AN3="débil",0,"Verifique respuestas")))</f>
        <v>100</v>
      </c>
      <c r="AP3" s="295" t="str">
        <f>IF(AN3="Verifique respuestas","",IF(AN3="Fuerte","No","Si"))</f>
        <v>No</v>
      </c>
      <c r="AQ3" s="296">
        <f t="shared" ref="AQ3:AQ9" si="10">IF(AO3="Verifique respuestas","",AVERAGE(AO3:AO3))</f>
        <v>100</v>
      </c>
      <c r="AR3" s="296" t="str">
        <f>IF(AQ3="","",IF(AQ3=100,"Fuerte",IF(AND(AQ3&gt;49,AQ3&lt;100),"Moderado",IF(AND(AQ3&gt;=0,AQ3&lt;50),"Débil","Verifique"))))</f>
        <v>Fuerte</v>
      </c>
      <c r="AS3" s="291" t="s">
        <v>1500</v>
      </c>
      <c r="AT3" s="291" t="s">
        <v>1500</v>
      </c>
      <c r="AU3" s="297">
        <f>IF(OR(AR3="",AS3=""),"Verifique",IF(AND(AR3="Fuerte",AS3="Directamente"),2,IF(AND(AR3="Moderado",AS3="Directamente"),1,IF(AND(OR(AR3="Fuerte",AR3="Moderado"),AS3="No disminuye"),0,0))))</f>
        <v>2</v>
      </c>
      <c r="AV3" s="297">
        <f t="shared" ref="AV3:AV59" si="11">IF(OR(AR3="",AT3=""),"Verifique",IF(OR(AND(AR3="Moderado",AT3="Indirectamente"),AT3="No disminuye",I3="Corrupción"),0,IF(OR(AND(AR3="Fuerte",AT3="Indirectamente"),AND(AR3="Moderado",AT3="Directamente")),1,IF(AND(AR3="Fuerte",AT3="Directamente"),2,0))))</f>
        <v>0</v>
      </c>
      <c r="AW3" s="290" t="e">
        <f t="shared" ref="AW3:AW13" si="12">IF(OR(P3="",Q3="",AU3="Verifique",AV3="Verifique"),"",VLOOKUP(VALUE(CONCATENATE(IF((VLOOKUP(Q3,TImpacto,2,FALSE)-AV3)&lt;1,1,(VLOOKUP(Q3,TImpacto,2,FALSE)-AV3)),IF((VLOOKUP(P3,TProbabilidad,2,FALSE)-AU3)&lt;1,1,(VLOOKUP(P3,TProbabilidad,2,FALSE)-AU3)))),TMapaCalor,2,FALSE))</f>
        <v>#REF!</v>
      </c>
      <c r="AX3" s="293" t="s">
        <v>1501</v>
      </c>
      <c r="AY3" s="293" t="s">
        <v>1502</v>
      </c>
      <c r="AZ3" s="293" t="s">
        <v>1503</v>
      </c>
      <c r="BA3" s="298">
        <v>45747</v>
      </c>
      <c r="BB3" s="293" t="s">
        <v>1241</v>
      </c>
    </row>
    <row r="4" spans="1:54" s="268" customFormat="1" ht="387.75" customHeight="1" x14ac:dyDescent="0.2">
      <c r="A4" s="289">
        <v>2</v>
      </c>
      <c r="B4" s="289" t="s">
        <v>1427</v>
      </c>
      <c r="C4" s="270"/>
      <c r="D4" s="270" t="s">
        <v>1428</v>
      </c>
      <c r="E4" s="270" t="s">
        <v>1504</v>
      </c>
      <c r="F4" s="269" t="s">
        <v>756</v>
      </c>
      <c r="G4" s="269">
        <v>0</v>
      </c>
      <c r="H4" s="269" t="s">
        <v>1483</v>
      </c>
      <c r="I4" s="299" t="s">
        <v>1484</v>
      </c>
      <c r="J4" s="300" t="s">
        <v>1242</v>
      </c>
      <c r="K4" s="270" t="s">
        <v>1486</v>
      </c>
      <c r="L4" s="270" t="s">
        <v>1487</v>
      </c>
      <c r="M4" s="300" t="s">
        <v>1242</v>
      </c>
      <c r="N4" s="301" t="s">
        <v>1505</v>
      </c>
      <c r="O4" s="270" t="s">
        <v>1506</v>
      </c>
      <c r="P4" s="299" t="s">
        <v>1307</v>
      </c>
      <c r="Q4" s="299" t="s">
        <v>342</v>
      </c>
      <c r="R4" s="270" t="e">
        <f>IF(OR(P4="",Q4=""),"",VLOOKUP(VALUE(CONCATENATE(VLOOKUP(Q4,TImpacto,2,FALSE),VLOOKUP(P4,TProbabilidad,2,FALSE))),TMapaCalor,2,FALSE))</f>
        <v>#REF!</v>
      </c>
      <c r="S4" s="299" t="s">
        <v>1490</v>
      </c>
      <c r="T4" s="305" t="s">
        <v>1507</v>
      </c>
      <c r="U4" s="303">
        <v>1</v>
      </c>
      <c r="V4" s="304" t="s">
        <v>187</v>
      </c>
      <c r="W4" s="294" t="s">
        <v>1492</v>
      </c>
      <c r="X4" s="294" t="s">
        <v>1493</v>
      </c>
      <c r="Y4" s="294" t="s">
        <v>1494</v>
      </c>
      <c r="Z4" s="294" t="s">
        <v>1495</v>
      </c>
      <c r="AA4" s="294" t="s">
        <v>1496</v>
      </c>
      <c r="AB4" s="294" t="s">
        <v>1497</v>
      </c>
      <c r="AC4" s="294" t="s">
        <v>1498</v>
      </c>
      <c r="AD4" s="295">
        <f t="shared" si="1"/>
        <v>15</v>
      </c>
      <c r="AE4" s="295">
        <f t="shared" si="2"/>
        <v>15</v>
      </c>
      <c r="AF4" s="295">
        <f t="shared" si="3"/>
        <v>15</v>
      </c>
      <c r="AG4" s="295">
        <f t="shared" si="4"/>
        <v>15</v>
      </c>
      <c r="AH4" s="295">
        <f t="shared" si="5"/>
        <v>15</v>
      </c>
      <c r="AI4" s="295">
        <f t="shared" si="6"/>
        <v>15</v>
      </c>
      <c r="AJ4" s="295">
        <f t="shared" si="7"/>
        <v>10</v>
      </c>
      <c r="AK4" s="295">
        <f t="shared" si="8"/>
        <v>100</v>
      </c>
      <c r="AL4" s="295" t="str">
        <f t="shared" ref="AL4:AL59" si="13">IF(AK4&lt;86,"Débil",IF(AND(AK4&gt;85,AK4&lt;96),"Moderado",IF(AND(AK4&gt;95,AK4&lt;101),"Fuerte","Verifique respuestas")))</f>
        <v>Fuerte</v>
      </c>
      <c r="AM4" s="294" t="s">
        <v>1499</v>
      </c>
      <c r="AN4" s="295" t="str">
        <f t="shared" ref="AN4:AN59" si="14">IF(AND(AL4="Fuerte",AM4="Fuerte"),"Fuerte",IF(OR(AND(AL4="Fuerte",AM4="Moderado"),AND(AL4="Moderado",AM4="Fuerte"),AND(AL4="Moderado",AM4="Moderado")),"Moderado",IF(OR(AND(AL4="Fuerte",AM4="Débil"),AND(AL4="Moderado",AM4="Débil"),AND(AL4="Débil",AM4="Fuerte"),AND(AL4="Débil",AM4="Moderado"),AND(AL4="Débil",AM4="Débil")),"Débil","Verifique respuestas")))</f>
        <v>Fuerte</v>
      </c>
      <c r="AO4" s="295">
        <f t="shared" si="9"/>
        <v>100</v>
      </c>
      <c r="AP4" s="295" t="str">
        <f t="shared" ref="AP4:AP59" si="15">IF(AN4="Verifique respuestas","",IF(AN4="Fuerte","No","Si"))</f>
        <v>No</v>
      </c>
      <c r="AQ4" s="296">
        <f t="shared" si="10"/>
        <v>100</v>
      </c>
      <c r="AR4" s="296" t="str">
        <f t="shared" ref="AR4:AR59" si="16">IF(AQ4="","",IF(AQ4=100,"Fuerte",IF(AND(AQ4&gt;49,AQ4&lt;100),"Moderado",IF(AND(AQ4&gt;=0,AQ4&lt;50),"Débil","Verifique"))))</f>
        <v>Fuerte</v>
      </c>
      <c r="AS4" s="299" t="s">
        <v>1500</v>
      </c>
      <c r="AT4" s="299" t="s">
        <v>1500</v>
      </c>
      <c r="AU4" s="297">
        <f t="shared" ref="AU4:AU59" si="17">IF(OR(AR4="",AS4=""),"Verifique",IF(AND(AR4="Fuerte",AS4="Directamente"),2,IF(AND(AR4="Moderado",AS4="Directamente"),1,IF(AND(OR(AR4="Fuerte",AR4="Moderado"),AS4="No disminuye"),0,0))))</f>
        <v>2</v>
      </c>
      <c r="AV4" s="297">
        <f t="shared" si="11"/>
        <v>0</v>
      </c>
      <c r="AW4" s="270" t="e">
        <f t="shared" si="12"/>
        <v>#REF!</v>
      </c>
      <c r="AX4" s="303" t="s">
        <v>1508</v>
      </c>
      <c r="AY4" s="303" t="s">
        <v>1509</v>
      </c>
      <c r="AZ4" s="293" t="s">
        <v>195</v>
      </c>
      <c r="BA4" s="298">
        <v>45688</v>
      </c>
      <c r="BB4" s="303" t="s">
        <v>1510</v>
      </c>
    </row>
    <row r="5" spans="1:54" s="268" customFormat="1" ht="261.75" customHeight="1" x14ac:dyDescent="0.2">
      <c r="A5" s="289">
        <v>2</v>
      </c>
      <c r="B5" s="289" t="s">
        <v>1427</v>
      </c>
      <c r="C5" s="270"/>
      <c r="D5" s="270" t="s">
        <v>1511</v>
      </c>
      <c r="E5" s="270" t="s">
        <v>1504</v>
      </c>
      <c r="F5" s="269" t="s">
        <v>756</v>
      </c>
      <c r="G5" s="269">
        <v>0</v>
      </c>
      <c r="H5" s="269" t="s">
        <v>1483</v>
      </c>
      <c r="I5" s="299" t="s">
        <v>1484</v>
      </c>
      <c r="J5" s="300" t="s">
        <v>1242</v>
      </c>
      <c r="K5" s="270" t="s">
        <v>1486</v>
      </c>
      <c r="L5" s="270" t="s">
        <v>1487</v>
      </c>
      <c r="M5" s="300" t="s">
        <v>1242</v>
      </c>
      <c r="N5" s="301" t="s">
        <v>1505</v>
      </c>
      <c r="O5" s="270" t="s">
        <v>1506</v>
      </c>
      <c r="P5" s="299" t="s">
        <v>1307</v>
      </c>
      <c r="Q5" s="299" t="s">
        <v>342</v>
      </c>
      <c r="R5" s="270" t="e">
        <f>IF(OR(P5="",Q5=""),"",VLOOKUP(VALUE(CONCATENATE(VLOOKUP(Q5,TImpacto,2,FALSE),VLOOKUP(P5,TProbabilidad,2,FALSE))),TMapaCalor,2,FALSE))</f>
        <v>#REF!</v>
      </c>
      <c r="S5" s="299" t="s">
        <v>1490</v>
      </c>
      <c r="T5" s="305" t="s">
        <v>1512</v>
      </c>
      <c r="U5" s="303">
        <v>2</v>
      </c>
      <c r="V5" s="304" t="s">
        <v>187</v>
      </c>
      <c r="W5" s="294" t="s">
        <v>1492</v>
      </c>
      <c r="X5" s="294" t="s">
        <v>1493</v>
      </c>
      <c r="Y5" s="294" t="s">
        <v>1494</v>
      </c>
      <c r="Z5" s="294" t="s">
        <v>1495</v>
      </c>
      <c r="AA5" s="294" t="s">
        <v>1496</v>
      </c>
      <c r="AB5" s="294" t="s">
        <v>1497</v>
      </c>
      <c r="AC5" s="294" t="s">
        <v>1498</v>
      </c>
      <c r="AD5" s="295">
        <f t="shared" si="1"/>
        <v>15</v>
      </c>
      <c r="AE5" s="295">
        <f t="shared" si="2"/>
        <v>15</v>
      </c>
      <c r="AF5" s="295">
        <f t="shared" si="3"/>
        <v>15</v>
      </c>
      <c r="AG5" s="295">
        <f t="shared" si="4"/>
        <v>15</v>
      </c>
      <c r="AH5" s="295">
        <f t="shared" si="5"/>
        <v>15</v>
      </c>
      <c r="AI5" s="295">
        <f t="shared" si="6"/>
        <v>15</v>
      </c>
      <c r="AJ5" s="295">
        <f t="shared" si="7"/>
        <v>10</v>
      </c>
      <c r="AK5" s="295">
        <f t="shared" si="8"/>
        <v>100</v>
      </c>
      <c r="AL5" s="295" t="str">
        <f t="shared" si="13"/>
        <v>Fuerte</v>
      </c>
      <c r="AM5" s="294" t="s">
        <v>1499</v>
      </c>
      <c r="AN5" s="295" t="str">
        <f t="shared" si="14"/>
        <v>Fuerte</v>
      </c>
      <c r="AO5" s="295">
        <f t="shared" si="9"/>
        <v>100</v>
      </c>
      <c r="AP5" s="295" t="str">
        <f t="shared" si="15"/>
        <v>No</v>
      </c>
      <c r="AQ5" s="296">
        <f t="shared" si="10"/>
        <v>100</v>
      </c>
      <c r="AR5" s="296" t="str">
        <f t="shared" si="16"/>
        <v>Fuerte</v>
      </c>
      <c r="AS5" s="299" t="s">
        <v>1500</v>
      </c>
      <c r="AT5" s="299" t="s">
        <v>1500</v>
      </c>
      <c r="AU5" s="297">
        <f t="shared" si="17"/>
        <v>2</v>
      </c>
      <c r="AV5" s="297">
        <f t="shared" si="11"/>
        <v>0</v>
      </c>
      <c r="AW5" s="270" t="e">
        <f t="shared" si="12"/>
        <v>#REF!</v>
      </c>
      <c r="AX5" s="303" t="s">
        <v>1508</v>
      </c>
      <c r="AY5" s="303" t="s">
        <v>1509</v>
      </c>
      <c r="AZ5" s="293" t="s">
        <v>195</v>
      </c>
      <c r="BA5" s="298">
        <v>45688</v>
      </c>
      <c r="BB5" s="303" t="s">
        <v>1510</v>
      </c>
    </row>
    <row r="6" spans="1:54" s="268" customFormat="1" ht="228.75" customHeight="1" x14ac:dyDescent="0.2">
      <c r="A6" s="289">
        <v>3</v>
      </c>
      <c r="B6" s="289" t="s">
        <v>1513</v>
      </c>
      <c r="C6" s="270"/>
      <c r="D6" s="270" t="s">
        <v>1514</v>
      </c>
      <c r="E6" s="270" t="s">
        <v>1515</v>
      </c>
      <c r="F6" s="269" t="s">
        <v>882</v>
      </c>
      <c r="G6" s="269">
        <v>0</v>
      </c>
      <c r="H6" s="269" t="s">
        <v>1516</v>
      </c>
      <c r="I6" s="299" t="s">
        <v>1484</v>
      </c>
      <c r="J6" s="300" t="s">
        <v>1242</v>
      </c>
      <c r="K6" s="270" t="s">
        <v>1517</v>
      </c>
      <c r="L6" s="270" t="s">
        <v>1518</v>
      </c>
      <c r="M6" s="300" t="s">
        <v>1242</v>
      </c>
      <c r="N6" s="301" t="s">
        <v>1519</v>
      </c>
      <c r="O6" s="270" t="s">
        <v>1520</v>
      </c>
      <c r="P6" s="299" t="s">
        <v>1307</v>
      </c>
      <c r="Q6" s="299" t="s">
        <v>342</v>
      </c>
      <c r="R6" s="270" t="e">
        <f t="shared" ref="R6" si="18">IF(OR(P6="",Q6=""),"",VLOOKUP(VALUE(CONCATENATE(VLOOKUP(Q6,TImpacto,2,FALSE),VLOOKUP(P6,TProbabilidad,2,FALSE))),TMapaCalor,2,FALSE))</f>
        <v>#REF!</v>
      </c>
      <c r="S6" s="299" t="s">
        <v>1490</v>
      </c>
      <c r="T6" s="305" t="s">
        <v>1521</v>
      </c>
      <c r="U6" s="303">
        <v>1</v>
      </c>
      <c r="V6" s="304" t="s">
        <v>187</v>
      </c>
      <c r="W6" s="294" t="s">
        <v>1492</v>
      </c>
      <c r="X6" s="294" t="s">
        <v>1493</v>
      </c>
      <c r="Y6" s="294" t="s">
        <v>1494</v>
      </c>
      <c r="Z6" s="294" t="s">
        <v>1495</v>
      </c>
      <c r="AA6" s="294" t="s">
        <v>1496</v>
      </c>
      <c r="AB6" s="294" t="s">
        <v>1497</v>
      </c>
      <c r="AC6" s="294" t="s">
        <v>1498</v>
      </c>
      <c r="AD6" s="295">
        <f t="shared" si="1"/>
        <v>15</v>
      </c>
      <c r="AE6" s="295">
        <f t="shared" si="2"/>
        <v>15</v>
      </c>
      <c r="AF6" s="295">
        <f t="shared" si="3"/>
        <v>15</v>
      </c>
      <c r="AG6" s="295">
        <f t="shared" si="4"/>
        <v>15</v>
      </c>
      <c r="AH6" s="295">
        <f t="shared" si="5"/>
        <v>15</v>
      </c>
      <c r="AI6" s="295">
        <f t="shared" si="6"/>
        <v>15</v>
      </c>
      <c r="AJ6" s="295">
        <f t="shared" si="7"/>
        <v>10</v>
      </c>
      <c r="AK6" s="295">
        <f t="shared" si="8"/>
        <v>100</v>
      </c>
      <c r="AL6" s="295" t="str">
        <f t="shared" si="13"/>
        <v>Fuerte</v>
      </c>
      <c r="AM6" s="294" t="s">
        <v>1499</v>
      </c>
      <c r="AN6" s="295" t="str">
        <f t="shared" si="14"/>
        <v>Fuerte</v>
      </c>
      <c r="AO6" s="295">
        <f t="shared" si="9"/>
        <v>100</v>
      </c>
      <c r="AP6" s="295" t="str">
        <f t="shared" si="15"/>
        <v>No</v>
      </c>
      <c r="AQ6" s="296">
        <f t="shared" si="10"/>
        <v>100</v>
      </c>
      <c r="AR6" s="296" t="str">
        <f t="shared" si="16"/>
        <v>Fuerte</v>
      </c>
      <c r="AS6" s="299" t="s">
        <v>1500</v>
      </c>
      <c r="AT6" s="299" t="s">
        <v>1500</v>
      </c>
      <c r="AU6" s="297">
        <f t="shared" si="17"/>
        <v>2</v>
      </c>
      <c r="AV6" s="297">
        <f t="shared" si="11"/>
        <v>0</v>
      </c>
      <c r="AW6" s="270" t="e">
        <f t="shared" ref="AW6" si="19">IF(OR(P6="",Q6="",AU6="Verifique",AV6="Verifique"),"",VLOOKUP(VALUE(CONCATENATE(IF((VLOOKUP(Q6,TImpacto,2,FALSE)-AV6)&lt;1,1,(VLOOKUP(Q6,TImpacto,2,FALSE)-AV6)),IF((VLOOKUP(P6,TProbabilidad,2,FALSE)-AU6)&lt;1,1,(VLOOKUP(P6,TProbabilidad,2,FALSE)-AU6)))),TMapaCalor,2,FALSE))</f>
        <v>#REF!</v>
      </c>
      <c r="AX6" s="852" t="s">
        <v>1522</v>
      </c>
      <c r="AY6" s="852" t="s">
        <v>1523</v>
      </c>
      <c r="AZ6" s="852" t="s">
        <v>1524</v>
      </c>
      <c r="BA6" s="854">
        <v>45869</v>
      </c>
      <c r="BB6" s="852" t="s">
        <v>1525</v>
      </c>
    </row>
    <row r="7" spans="1:54" s="268" customFormat="1" ht="244.5" customHeight="1" x14ac:dyDescent="0.2">
      <c r="A7" s="289">
        <v>3</v>
      </c>
      <c r="B7" s="289" t="s">
        <v>1513</v>
      </c>
      <c r="C7" s="270"/>
      <c r="D7" s="270" t="s">
        <v>1514</v>
      </c>
      <c r="E7" s="270" t="s">
        <v>1515</v>
      </c>
      <c r="F7" s="269" t="s">
        <v>882</v>
      </c>
      <c r="G7" s="269">
        <v>0</v>
      </c>
      <c r="H7" s="269" t="s">
        <v>1516</v>
      </c>
      <c r="I7" s="299" t="s">
        <v>1484</v>
      </c>
      <c r="J7" s="300" t="s">
        <v>1242</v>
      </c>
      <c r="K7" s="270" t="s">
        <v>1517</v>
      </c>
      <c r="L7" s="270" t="s">
        <v>1518</v>
      </c>
      <c r="M7" s="300" t="s">
        <v>1242</v>
      </c>
      <c r="N7" s="301" t="s">
        <v>1526</v>
      </c>
      <c r="O7" s="270" t="s">
        <v>1520</v>
      </c>
      <c r="P7" s="299" t="s">
        <v>1307</v>
      </c>
      <c r="Q7" s="299" t="s">
        <v>342</v>
      </c>
      <c r="R7" s="270" t="e">
        <f>IF(OR(P7="",Q7=""),"",VLOOKUP(VALUE(CONCATENATE(VLOOKUP(Q7,TImpacto,2,FALSE),VLOOKUP(P7,TProbabilidad,2,FALSE))),TMapaCalor,2,FALSE))</f>
        <v>#REF!</v>
      </c>
      <c r="S7" s="299" t="s">
        <v>1490</v>
      </c>
      <c r="T7" s="305" t="s">
        <v>1527</v>
      </c>
      <c r="U7" s="303">
        <v>2</v>
      </c>
      <c r="V7" s="304" t="s">
        <v>187</v>
      </c>
      <c r="W7" s="294" t="s">
        <v>1492</v>
      </c>
      <c r="X7" s="294" t="s">
        <v>1493</v>
      </c>
      <c r="Y7" s="294" t="s">
        <v>1494</v>
      </c>
      <c r="Z7" s="294" t="s">
        <v>1495</v>
      </c>
      <c r="AA7" s="294" t="s">
        <v>1496</v>
      </c>
      <c r="AB7" s="294" t="s">
        <v>1497</v>
      </c>
      <c r="AC7" s="294" t="s">
        <v>1498</v>
      </c>
      <c r="AD7" s="295">
        <f>IF(W7="Asignado",15,IF(W7="No asignado",0,"Seleccione"))</f>
        <v>15</v>
      </c>
      <c r="AE7" s="295">
        <f>IF(X7="Adecuado",15,IF(X7="Inadecuado",0,"Seleccione"))</f>
        <v>15</v>
      </c>
      <c r="AF7" s="295">
        <f>IF(Y7="Oportuna",15,IF(Y7="Inoportuna",0,"Seleccione"))</f>
        <v>15</v>
      </c>
      <c r="AG7" s="295">
        <f>IF(Z7="Prevenir",15,IF(Z7="Detectar",10,IF(Z7="No es un Control",0,"Seleccione")))</f>
        <v>15</v>
      </c>
      <c r="AH7" s="295">
        <f>IF(AA7="Confiable",15,IF(AA7="No confiable",0,"Seleccione"))</f>
        <v>15</v>
      </c>
      <c r="AI7" s="295">
        <f>IF(AB7="Se investigan y resuelven oportunamente",15,IF(AB7="No se investigan y resuelven oportunamente",0,"Seleccione"))</f>
        <v>15</v>
      </c>
      <c r="AJ7" s="295">
        <f>IF(AC7="Completa",10,IF(AC7="Incompleta",5,IF(AC7="No existe",0,"Seleccione")))</f>
        <v>10</v>
      </c>
      <c r="AK7" s="295">
        <f>IF(COUNTBLANK(W7:AC7)&gt;0,"Complete las respuestas",SUM(AD7:AJ7))</f>
        <v>100</v>
      </c>
      <c r="AL7" s="295" t="str">
        <f>IF(AK7&lt;86,"Débil",IF(AND(AK7&gt;85,AK7&lt;96),"Moderado",IF(AND(AK7&gt;95,AK7&lt;101),"Fuerte","Verifique respuestas")))</f>
        <v>Fuerte</v>
      </c>
      <c r="AM7" s="294" t="s">
        <v>1499</v>
      </c>
      <c r="AN7" s="295" t="str">
        <f>IF(AND(AL7="Fuerte",AM7="Fuerte"),"Fuerte",IF(OR(AND(AL7="Fuerte",AM7="Moderado"),AND(AL7="Moderado",AM7="Fuerte"),AND(AL7="Moderado",AM7="Moderado")),"Moderado",IF(OR(AND(AL7="Fuerte",AM7="Débil"),AND(AL7="Moderado",AM7="Débil"),AND(AL7="Débil",AM7="Fuerte"),AND(AL7="Débil",AM7="Moderado"),AND(AL7="Débil",AM7="Débil")),"Débil","Verifique respuestas")))</f>
        <v>Fuerte</v>
      </c>
      <c r="AO7" s="295">
        <f>IF(AN7="Fuerte",100,IF(AN7="Moderado",50,IF(AN7="débil",0,"Verifique respuestas")))</f>
        <v>100</v>
      </c>
      <c r="AP7" s="295" t="str">
        <f>IF(AN7="Verifique respuestas","",IF(AN7="Fuerte","No","Si"))</f>
        <v>No</v>
      </c>
      <c r="AQ7" s="296">
        <f>IF(AO7="Verifique respuestas","",AVERAGE(AO7:AO7))</f>
        <v>100</v>
      </c>
      <c r="AR7" s="296" t="str">
        <f>IF(AQ7="","",IF(AQ7=100,"Fuerte",IF(AND(AQ7&gt;49,AQ7&lt;100),"Moderado",IF(AND(AQ7&gt;=0,AQ7&lt;50),"Débil","Verifique"))))</f>
        <v>Fuerte</v>
      </c>
      <c r="AS7" s="299" t="s">
        <v>1500</v>
      </c>
      <c r="AT7" s="299" t="s">
        <v>1500</v>
      </c>
      <c r="AU7" s="297">
        <f>IF(OR(AR7="",AS7=""),"Verifique",IF(AND(AR7="Fuerte",AS7="Directamente"),2,IF(AND(AR7="Moderado",AS7="Directamente"),1,IF(AND(OR(AR7="Fuerte",AR7="Moderado"),AS7="No disminuye"),0,0))))</f>
        <v>2</v>
      </c>
      <c r="AV7" s="297">
        <f>IF(OR(AR7="",AT7=""),"Verifique",IF(OR(AND(AR7="Moderado",AT7="Indirectamente"),AT7="No disminuye",I7="Corrupción"),0,IF(OR(AND(AR7="Fuerte",AT7="Indirectamente"),AND(AR7="Moderado",AT7="Directamente")),1,IF(AND(AR7="Fuerte",AT7="Directamente"),2,0))))</f>
        <v>0</v>
      </c>
      <c r="AW7" s="270" t="e">
        <f>IF(OR(P7="",Q7="",AU7="Verifique",AV7="Verifique"),"",VLOOKUP(VALUE(CONCATENATE(IF((VLOOKUP(Q7,TImpacto,2,FALSE)-AV7)&lt;1,1,(VLOOKUP(Q7,TImpacto,2,FALSE)-AV7)),IF((VLOOKUP(P7,TProbabilidad,2,FALSE)-AU7)&lt;1,1,(VLOOKUP(P7,TProbabilidad,2,FALSE)-AU7)))),TMapaCalor,2,FALSE))</f>
        <v>#REF!</v>
      </c>
      <c r="AX7" s="856"/>
      <c r="AY7" s="856"/>
      <c r="AZ7" s="856"/>
      <c r="BA7" s="857"/>
      <c r="BB7" s="856"/>
    </row>
    <row r="8" spans="1:54" s="268" customFormat="1" ht="179.25" customHeight="1" x14ac:dyDescent="0.2">
      <c r="A8" s="289">
        <v>4</v>
      </c>
      <c r="B8" s="289" t="s">
        <v>1429</v>
      </c>
      <c r="C8" s="270"/>
      <c r="D8" s="270" t="s">
        <v>1430</v>
      </c>
      <c r="E8" s="270" t="s">
        <v>1528</v>
      </c>
      <c r="F8" s="269" t="s">
        <v>882</v>
      </c>
      <c r="G8" s="269">
        <v>0</v>
      </c>
      <c r="H8" s="269" t="s">
        <v>1516</v>
      </c>
      <c r="I8" s="299" t="s">
        <v>1484</v>
      </c>
      <c r="J8" s="300" t="s">
        <v>1242</v>
      </c>
      <c r="K8" s="270" t="s">
        <v>1517</v>
      </c>
      <c r="L8" s="270" t="s">
        <v>1518</v>
      </c>
      <c r="M8" s="300" t="s">
        <v>1242</v>
      </c>
      <c r="N8" s="301" t="s">
        <v>1529</v>
      </c>
      <c r="O8" s="270" t="s">
        <v>1520</v>
      </c>
      <c r="P8" s="299" t="s">
        <v>1307</v>
      </c>
      <c r="Q8" s="299" t="s">
        <v>342</v>
      </c>
      <c r="R8" s="270" t="e">
        <f>IF(OR(P8="",Q8=""),"",VLOOKUP(VALUE(CONCATENATE(VLOOKUP(Q8,TImpacto,2,FALSE),VLOOKUP(P8,TProbabilidad,2,FALSE))),TMapaCalor,2,FALSE))</f>
        <v>#REF!</v>
      </c>
      <c r="S8" s="299" t="s">
        <v>1490</v>
      </c>
      <c r="T8" s="305" t="s">
        <v>1530</v>
      </c>
      <c r="U8" s="303">
        <v>1</v>
      </c>
      <c r="V8" s="304" t="s">
        <v>187</v>
      </c>
      <c r="W8" s="294" t="s">
        <v>1492</v>
      </c>
      <c r="X8" s="294" t="s">
        <v>1493</v>
      </c>
      <c r="Y8" s="294" t="s">
        <v>1494</v>
      </c>
      <c r="Z8" s="294" t="s">
        <v>1495</v>
      </c>
      <c r="AA8" s="294" t="s">
        <v>1496</v>
      </c>
      <c r="AB8" s="294" t="s">
        <v>1497</v>
      </c>
      <c r="AC8" s="294" t="s">
        <v>1498</v>
      </c>
      <c r="AD8" s="295">
        <f t="shared" si="1"/>
        <v>15</v>
      </c>
      <c r="AE8" s="295">
        <f t="shared" si="2"/>
        <v>15</v>
      </c>
      <c r="AF8" s="295">
        <f t="shared" si="3"/>
        <v>15</v>
      </c>
      <c r="AG8" s="295">
        <f t="shared" si="4"/>
        <v>15</v>
      </c>
      <c r="AH8" s="295">
        <f t="shared" si="5"/>
        <v>15</v>
      </c>
      <c r="AI8" s="295">
        <f t="shared" si="6"/>
        <v>15</v>
      </c>
      <c r="AJ8" s="295">
        <f t="shared" si="7"/>
        <v>10</v>
      </c>
      <c r="AK8" s="295">
        <f t="shared" si="8"/>
        <v>100</v>
      </c>
      <c r="AL8" s="295" t="str">
        <f t="shared" si="13"/>
        <v>Fuerte</v>
      </c>
      <c r="AM8" s="294" t="s">
        <v>1499</v>
      </c>
      <c r="AN8" s="295" t="str">
        <f t="shared" si="14"/>
        <v>Fuerte</v>
      </c>
      <c r="AO8" s="295">
        <f t="shared" si="9"/>
        <v>100</v>
      </c>
      <c r="AP8" s="295" t="str">
        <f t="shared" si="15"/>
        <v>No</v>
      </c>
      <c r="AQ8" s="296">
        <f t="shared" si="10"/>
        <v>100</v>
      </c>
      <c r="AR8" s="296" t="str">
        <f t="shared" si="16"/>
        <v>Fuerte</v>
      </c>
      <c r="AS8" s="299" t="s">
        <v>1500</v>
      </c>
      <c r="AT8" s="299" t="s">
        <v>1500</v>
      </c>
      <c r="AU8" s="297">
        <f t="shared" si="17"/>
        <v>2</v>
      </c>
      <c r="AV8" s="297">
        <f t="shared" si="11"/>
        <v>0</v>
      </c>
      <c r="AW8" s="270" t="e">
        <f t="shared" si="12"/>
        <v>#REF!</v>
      </c>
      <c r="AX8" s="303" t="s">
        <v>1522</v>
      </c>
      <c r="AY8" s="303" t="s">
        <v>1523</v>
      </c>
      <c r="AZ8" s="303" t="s">
        <v>1524</v>
      </c>
      <c r="BA8" s="306">
        <v>45869</v>
      </c>
      <c r="BB8" s="303" t="s">
        <v>1531</v>
      </c>
    </row>
    <row r="9" spans="1:54" s="268" customFormat="1" ht="208.5" customHeight="1" x14ac:dyDescent="0.2">
      <c r="A9" s="289">
        <v>4</v>
      </c>
      <c r="B9" s="289" t="s">
        <v>1429</v>
      </c>
      <c r="C9" s="270"/>
      <c r="D9" s="270" t="s">
        <v>1430</v>
      </c>
      <c r="E9" s="270" t="s">
        <v>1528</v>
      </c>
      <c r="F9" s="269" t="s">
        <v>882</v>
      </c>
      <c r="G9" s="269">
        <v>0</v>
      </c>
      <c r="H9" s="269" t="s">
        <v>1516</v>
      </c>
      <c r="I9" s="299" t="s">
        <v>1484</v>
      </c>
      <c r="J9" s="300" t="s">
        <v>1242</v>
      </c>
      <c r="K9" s="270" t="s">
        <v>1517</v>
      </c>
      <c r="L9" s="270" t="s">
        <v>1518</v>
      </c>
      <c r="M9" s="300" t="s">
        <v>1242</v>
      </c>
      <c r="N9" s="301" t="s">
        <v>1529</v>
      </c>
      <c r="O9" s="270" t="s">
        <v>1520</v>
      </c>
      <c r="P9" s="299" t="s">
        <v>1307</v>
      </c>
      <c r="Q9" s="299" t="s">
        <v>342</v>
      </c>
      <c r="R9" s="270" t="e">
        <f t="shared" si="0"/>
        <v>#REF!</v>
      </c>
      <c r="S9" s="299" t="s">
        <v>1490</v>
      </c>
      <c r="T9" s="305" t="s">
        <v>1532</v>
      </c>
      <c r="U9" s="303">
        <v>2</v>
      </c>
      <c r="V9" s="304" t="s">
        <v>187</v>
      </c>
      <c r="W9" s="294" t="s">
        <v>1492</v>
      </c>
      <c r="X9" s="294" t="s">
        <v>1493</v>
      </c>
      <c r="Y9" s="294" t="s">
        <v>1494</v>
      </c>
      <c r="Z9" s="294" t="s">
        <v>1495</v>
      </c>
      <c r="AA9" s="294" t="s">
        <v>1496</v>
      </c>
      <c r="AB9" s="294" t="s">
        <v>1497</v>
      </c>
      <c r="AC9" s="294" t="s">
        <v>1498</v>
      </c>
      <c r="AD9" s="295">
        <f t="shared" si="1"/>
        <v>15</v>
      </c>
      <c r="AE9" s="295">
        <f t="shared" si="2"/>
        <v>15</v>
      </c>
      <c r="AF9" s="295">
        <f t="shared" si="3"/>
        <v>15</v>
      </c>
      <c r="AG9" s="295">
        <f t="shared" si="4"/>
        <v>15</v>
      </c>
      <c r="AH9" s="295">
        <f t="shared" si="5"/>
        <v>15</v>
      </c>
      <c r="AI9" s="295">
        <f t="shared" si="6"/>
        <v>15</v>
      </c>
      <c r="AJ9" s="295">
        <f t="shared" si="7"/>
        <v>10</v>
      </c>
      <c r="AK9" s="295">
        <f t="shared" si="8"/>
        <v>100</v>
      </c>
      <c r="AL9" s="295" t="str">
        <f t="shared" si="13"/>
        <v>Fuerte</v>
      </c>
      <c r="AM9" s="294" t="s">
        <v>1499</v>
      </c>
      <c r="AN9" s="295" t="str">
        <f t="shared" si="14"/>
        <v>Fuerte</v>
      </c>
      <c r="AO9" s="295">
        <f t="shared" si="9"/>
        <v>100</v>
      </c>
      <c r="AP9" s="295" t="str">
        <f t="shared" si="15"/>
        <v>No</v>
      </c>
      <c r="AQ9" s="296">
        <f t="shared" si="10"/>
        <v>100</v>
      </c>
      <c r="AR9" s="296" t="str">
        <f t="shared" si="16"/>
        <v>Fuerte</v>
      </c>
      <c r="AS9" s="299" t="s">
        <v>1500</v>
      </c>
      <c r="AT9" s="299" t="s">
        <v>1500</v>
      </c>
      <c r="AU9" s="297">
        <f t="shared" si="17"/>
        <v>2</v>
      </c>
      <c r="AV9" s="297">
        <f t="shared" si="11"/>
        <v>0</v>
      </c>
      <c r="AW9" s="270" t="e">
        <f t="shared" si="12"/>
        <v>#REF!</v>
      </c>
      <c r="AX9" s="303" t="s">
        <v>1533</v>
      </c>
      <c r="AY9" s="303" t="s">
        <v>1523</v>
      </c>
      <c r="AZ9" s="303" t="s">
        <v>1524</v>
      </c>
      <c r="BA9" s="306">
        <v>45869</v>
      </c>
      <c r="BB9" s="303" t="s">
        <v>1531</v>
      </c>
    </row>
    <row r="10" spans="1:54" s="268" customFormat="1" ht="216.75" customHeight="1" x14ac:dyDescent="0.2">
      <c r="A10" s="289">
        <v>5</v>
      </c>
      <c r="B10" s="303" t="s">
        <v>1431</v>
      </c>
      <c r="C10" s="303"/>
      <c r="D10" s="301" t="s">
        <v>1432</v>
      </c>
      <c r="E10" s="301" t="s">
        <v>1534</v>
      </c>
      <c r="F10" s="269" t="s">
        <v>704</v>
      </c>
      <c r="G10" s="269">
        <v>0</v>
      </c>
      <c r="H10" s="269" t="s">
        <v>1535</v>
      </c>
      <c r="I10" s="304" t="s">
        <v>1484</v>
      </c>
      <c r="J10" s="307" t="s">
        <v>1536</v>
      </c>
      <c r="K10" s="303" t="s">
        <v>1537</v>
      </c>
      <c r="L10" s="303" t="s">
        <v>1538</v>
      </c>
      <c r="M10" s="307" t="s">
        <v>1539</v>
      </c>
      <c r="N10" s="301" t="s">
        <v>1540</v>
      </c>
      <c r="O10" s="303" t="s">
        <v>1541</v>
      </c>
      <c r="P10" s="304" t="s">
        <v>1307</v>
      </c>
      <c r="Q10" s="304" t="s">
        <v>342</v>
      </c>
      <c r="R10" s="289" t="e">
        <f>IF(OR(P10="",Q10=""),"",VLOOKUP(VALUE(CONCATENATE(VLOOKUP(Q10,TImpacto,2,FALSE),VLOOKUP(P10,TProbabilidad,2,FALSE))),TMapaCalor,2,FALSE))</f>
        <v>#REF!</v>
      </c>
      <c r="S10" s="304" t="s">
        <v>1490</v>
      </c>
      <c r="T10" s="598" t="s">
        <v>1542</v>
      </c>
      <c r="U10" s="303">
        <v>1</v>
      </c>
      <c r="V10" s="304" t="s">
        <v>187</v>
      </c>
      <c r="W10" s="294" t="s">
        <v>1492</v>
      </c>
      <c r="X10" s="294" t="s">
        <v>1493</v>
      </c>
      <c r="Y10" s="294" t="s">
        <v>1494</v>
      </c>
      <c r="Z10" s="294" t="s">
        <v>1495</v>
      </c>
      <c r="AA10" s="294" t="s">
        <v>1496</v>
      </c>
      <c r="AB10" s="294" t="s">
        <v>1497</v>
      </c>
      <c r="AC10" s="294" t="s">
        <v>1498</v>
      </c>
      <c r="AD10" s="295">
        <f t="shared" si="1"/>
        <v>15</v>
      </c>
      <c r="AE10" s="295">
        <f t="shared" si="2"/>
        <v>15</v>
      </c>
      <c r="AF10" s="295">
        <f t="shared" si="3"/>
        <v>15</v>
      </c>
      <c r="AG10" s="295">
        <f t="shared" si="4"/>
        <v>15</v>
      </c>
      <c r="AH10" s="295">
        <f t="shared" si="5"/>
        <v>15</v>
      </c>
      <c r="AI10" s="295">
        <f t="shared" si="6"/>
        <v>15</v>
      </c>
      <c r="AJ10" s="295">
        <f t="shared" si="7"/>
        <v>10</v>
      </c>
      <c r="AK10" s="295">
        <f t="shared" si="8"/>
        <v>100</v>
      </c>
      <c r="AL10" s="295" t="str">
        <f t="shared" si="13"/>
        <v>Fuerte</v>
      </c>
      <c r="AM10" s="294" t="s">
        <v>1499</v>
      </c>
      <c r="AN10" s="295" t="str">
        <f t="shared" si="14"/>
        <v>Fuerte</v>
      </c>
      <c r="AO10" s="295">
        <f t="shared" si="9"/>
        <v>100</v>
      </c>
      <c r="AP10" s="295" t="str">
        <f t="shared" si="15"/>
        <v>No</v>
      </c>
      <c r="AQ10" s="295">
        <f>IF(AO10="Verifique respuestas","",AVERAGE(AO10))</f>
        <v>100</v>
      </c>
      <c r="AR10" s="295" t="str">
        <f t="shared" si="16"/>
        <v>Fuerte</v>
      </c>
      <c r="AS10" s="304" t="s">
        <v>1500</v>
      </c>
      <c r="AT10" s="304" t="s">
        <v>1500</v>
      </c>
      <c r="AU10" s="308">
        <f t="shared" si="17"/>
        <v>2</v>
      </c>
      <c r="AV10" s="308">
        <f t="shared" si="11"/>
        <v>0</v>
      </c>
      <c r="AW10" s="289" t="e">
        <f t="shared" si="12"/>
        <v>#REF!</v>
      </c>
      <c r="AX10" s="303" t="s">
        <v>1543</v>
      </c>
      <c r="AY10" s="303" t="s">
        <v>1544</v>
      </c>
      <c r="AZ10" s="303" t="s">
        <v>1545</v>
      </c>
      <c r="BA10" s="306">
        <v>45688</v>
      </c>
      <c r="BB10" s="303" t="s">
        <v>1546</v>
      </c>
    </row>
    <row r="11" spans="1:54" s="268" customFormat="1" ht="227.25" customHeight="1" x14ac:dyDescent="0.2">
      <c r="A11" s="289">
        <v>5</v>
      </c>
      <c r="B11" s="303" t="s">
        <v>1431</v>
      </c>
      <c r="C11" s="303"/>
      <c r="D11" s="301" t="s">
        <v>1432</v>
      </c>
      <c r="E11" s="301" t="s">
        <v>1534</v>
      </c>
      <c r="F11" s="269" t="s">
        <v>704</v>
      </c>
      <c r="G11" s="269">
        <v>0</v>
      </c>
      <c r="H11" s="269" t="s">
        <v>1535</v>
      </c>
      <c r="I11" s="304" t="s">
        <v>1484</v>
      </c>
      <c r="J11" s="307" t="s">
        <v>1536</v>
      </c>
      <c r="K11" s="303" t="s">
        <v>1537</v>
      </c>
      <c r="L11" s="303" t="s">
        <v>1538</v>
      </c>
      <c r="M11" s="307" t="s">
        <v>1539</v>
      </c>
      <c r="N11" s="301" t="s">
        <v>1540</v>
      </c>
      <c r="O11" s="303" t="s">
        <v>1541</v>
      </c>
      <c r="P11" s="304" t="s">
        <v>1307</v>
      </c>
      <c r="Q11" s="304" t="s">
        <v>342</v>
      </c>
      <c r="R11" s="289" t="e">
        <f t="shared" si="0"/>
        <v>#REF!</v>
      </c>
      <c r="S11" s="304" t="s">
        <v>1490</v>
      </c>
      <c r="T11" s="598" t="s">
        <v>1547</v>
      </c>
      <c r="U11" s="303">
        <v>2</v>
      </c>
      <c r="V11" s="304" t="s">
        <v>228</v>
      </c>
      <c r="W11" s="294" t="s">
        <v>1492</v>
      </c>
      <c r="X11" s="294" t="s">
        <v>1493</v>
      </c>
      <c r="Y11" s="294" t="s">
        <v>1494</v>
      </c>
      <c r="Z11" s="294" t="s">
        <v>1548</v>
      </c>
      <c r="AA11" s="294" t="s">
        <v>1496</v>
      </c>
      <c r="AB11" s="294" t="s">
        <v>1497</v>
      </c>
      <c r="AC11" s="294" t="s">
        <v>1498</v>
      </c>
      <c r="AD11" s="295">
        <f t="shared" si="1"/>
        <v>15</v>
      </c>
      <c r="AE11" s="295">
        <f t="shared" si="2"/>
        <v>15</v>
      </c>
      <c r="AF11" s="295">
        <f t="shared" si="3"/>
        <v>15</v>
      </c>
      <c r="AG11" s="295">
        <f t="shared" si="4"/>
        <v>10</v>
      </c>
      <c r="AH11" s="295">
        <f t="shared" si="5"/>
        <v>15</v>
      </c>
      <c r="AI11" s="295">
        <f t="shared" si="6"/>
        <v>15</v>
      </c>
      <c r="AJ11" s="295">
        <f t="shared" si="7"/>
        <v>10</v>
      </c>
      <c r="AK11" s="295">
        <f t="shared" si="8"/>
        <v>95</v>
      </c>
      <c r="AL11" s="295" t="str">
        <f t="shared" si="13"/>
        <v>Moderado</v>
      </c>
      <c r="AM11" s="294" t="s">
        <v>1499</v>
      </c>
      <c r="AN11" s="295" t="str">
        <f t="shared" si="14"/>
        <v>Moderado</v>
      </c>
      <c r="AO11" s="295">
        <f t="shared" si="9"/>
        <v>50</v>
      </c>
      <c r="AP11" s="295" t="str">
        <f t="shared" si="15"/>
        <v>Si</v>
      </c>
      <c r="AQ11" s="295">
        <f>IF(AO11="Verifique respuestas","",AVERAGE(AO11))</f>
        <v>50</v>
      </c>
      <c r="AR11" s="295" t="str">
        <f t="shared" si="16"/>
        <v>Moderado</v>
      </c>
      <c r="AS11" s="304" t="s">
        <v>1500</v>
      </c>
      <c r="AT11" s="304" t="s">
        <v>1500</v>
      </c>
      <c r="AU11" s="308">
        <f t="shared" si="17"/>
        <v>1</v>
      </c>
      <c r="AV11" s="308">
        <f t="shared" si="11"/>
        <v>0</v>
      </c>
      <c r="AW11" s="289" t="e">
        <f t="shared" si="12"/>
        <v>#REF!</v>
      </c>
      <c r="AX11" s="303" t="s">
        <v>1549</v>
      </c>
      <c r="AY11" s="303" t="s">
        <v>1544</v>
      </c>
      <c r="AZ11" s="303" t="s">
        <v>1545</v>
      </c>
      <c r="BA11" s="306">
        <v>45688</v>
      </c>
      <c r="BB11" s="303" t="s">
        <v>1546</v>
      </c>
    </row>
    <row r="12" spans="1:54" s="268" customFormat="1" ht="236.25" x14ac:dyDescent="0.2">
      <c r="A12" s="289">
        <v>6</v>
      </c>
      <c r="B12" s="289" t="s">
        <v>1433</v>
      </c>
      <c r="C12" s="270"/>
      <c r="D12" s="303" t="s">
        <v>1434</v>
      </c>
      <c r="E12" s="309" t="s">
        <v>1550</v>
      </c>
      <c r="F12" s="269" t="s">
        <v>906</v>
      </c>
      <c r="G12" s="269">
        <v>0</v>
      </c>
      <c r="H12" s="269" t="s">
        <v>1551</v>
      </c>
      <c r="I12" s="304" t="s">
        <v>1484</v>
      </c>
      <c r="J12" s="307" t="s">
        <v>1242</v>
      </c>
      <c r="K12" s="303" t="s">
        <v>1552</v>
      </c>
      <c r="L12" s="303" t="s">
        <v>1553</v>
      </c>
      <c r="M12" s="307" t="s">
        <v>1242</v>
      </c>
      <c r="N12" s="301" t="s">
        <v>1554</v>
      </c>
      <c r="O12" s="310" t="s">
        <v>1555</v>
      </c>
      <c r="P12" s="311" t="s">
        <v>1307</v>
      </c>
      <c r="Q12" s="311" t="s">
        <v>281</v>
      </c>
      <c r="R12" s="289" t="e">
        <f t="shared" si="0"/>
        <v>#REF!</v>
      </c>
      <c r="S12" s="311" t="s">
        <v>1490</v>
      </c>
      <c r="T12" s="305" t="s">
        <v>1556</v>
      </c>
      <c r="U12" s="303">
        <v>1</v>
      </c>
      <c r="V12" s="304" t="s">
        <v>187</v>
      </c>
      <c r="W12" s="294" t="s">
        <v>1492</v>
      </c>
      <c r="X12" s="294" t="s">
        <v>1493</v>
      </c>
      <c r="Y12" s="294" t="s">
        <v>1494</v>
      </c>
      <c r="Z12" s="294" t="s">
        <v>1495</v>
      </c>
      <c r="AA12" s="294" t="s">
        <v>1496</v>
      </c>
      <c r="AB12" s="294" t="s">
        <v>1497</v>
      </c>
      <c r="AC12" s="294" t="s">
        <v>1498</v>
      </c>
      <c r="AD12" s="295">
        <f t="shared" si="1"/>
        <v>15</v>
      </c>
      <c r="AE12" s="295">
        <f t="shared" si="2"/>
        <v>15</v>
      </c>
      <c r="AF12" s="295">
        <f t="shared" si="3"/>
        <v>15</v>
      </c>
      <c r="AG12" s="295">
        <f t="shared" si="4"/>
        <v>15</v>
      </c>
      <c r="AH12" s="295">
        <f t="shared" si="5"/>
        <v>15</v>
      </c>
      <c r="AI12" s="295">
        <f t="shared" si="6"/>
        <v>15</v>
      </c>
      <c r="AJ12" s="295">
        <f t="shared" si="7"/>
        <v>10</v>
      </c>
      <c r="AK12" s="295">
        <f t="shared" si="8"/>
        <v>100</v>
      </c>
      <c r="AL12" s="295" t="str">
        <f t="shared" si="13"/>
        <v>Fuerte</v>
      </c>
      <c r="AM12" s="294" t="s">
        <v>1499</v>
      </c>
      <c r="AN12" s="295" t="str">
        <f t="shared" si="14"/>
        <v>Fuerte</v>
      </c>
      <c r="AO12" s="295">
        <f t="shared" si="9"/>
        <v>100</v>
      </c>
      <c r="AP12" s="295" t="str">
        <f t="shared" si="15"/>
        <v>No</v>
      </c>
      <c r="AQ12" s="295">
        <f t="shared" ref="AQ12:AQ24" si="20">IF(AO12="Verifique respuestas","",AVERAGE(AO12))</f>
        <v>100</v>
      </c>
      <c r="AR12" s="295" t="str">
        <f t="shared" si="16"/>
        <v>Fuerte</v>
      </c>
      <c r="AS12" s="304" t="s">
        <v>1500</v>
      </c>
      <c r="AT12" s="304" t="s">
        <v>1500</v>
      </c>
      <c r="AU12" s="308">
        <f t="shared" si="17"/>
        <v>2</v>
      </c>
      <c r="AV12" s="308">
        <f t="shared" si="11"/>
        <v>0</v>
      </c>
      <c r="AW12" s="289" t="e">
        <f t="shared" si="12"/>
        <v>#REF!</v>
      </c>
      <c r="AX12" s="852" t="s">
        <v>1557</v>
      </c>
      <c r="AY12" s="852" t="s">
        <v>1558</v>
      </c>
      <c r="AZ12" s="852" t="s">
        <v>1559</v>
      </c>
      <c r="BA12" s="854">
        <v>46022</v>
      </c>
      <c r="BB12" s="852" t="s">
        <v>1560</v>
      </c>
    </row>
    <row r="13" spans="1:54" s="268" customFormat="1" ht="236.25" x14ac:dyDescent="0.2">
      <c r="A13" s="289">
        <v>6</v>
      </c>
      <c r="B13" s="289" t="s">
        <v>1433</v>
      </c>
      <c r="C13" s="270"/>
      <c r="D13" s="303" t="s">
        <v>1434</v>
      </c>
      <c r="E13" s="309" t="s">
        <v>1550</v>
      </c>
      <c r="F13" s="269" t="s">
        <v>906</v>
      </c>
      <c r="G13" s="269">
        <v>0</v>
      </c>
      <c r="H13" s="269" t="s">
        <v>1551</v>
      </c>
      <c r="I13" s="304" t="s">
        <v>1484</v>
      </c>
      <c r="J13" s="307" t="s">
        <v>1242</v>
      </c>
      <c r="K13" s="303" t="s">
        <v>1552</v>
      </c>
      <c r="L13" s="303" t="s">
        <v>1553</v>
      </c>
      <c r="M13" s="307" t="s">
        <v>1242</v>
      </c>
      <c r="N13" s="301" t="s">
        <v>1554</v>
      </c>
      <c r="O13" s="310" t="s">
        <v>1555</v>
      </c>
      <c r="P13" s="311" t="s">
        <v>1307</v>
      </c>
      <c r="Q13" s="311" t="s">
        <v>281</v>
      </c>
      <c r="R13" s="289" t="e">
        <f t="shared" si="0"/>
        <v>#REF!</v>
      </c>
      <c r="S13" s="311" t="s">
        <v>1490</v>
      </c>
      <c r="T13" s="302" t="s">
        <v>1561</v>
      </c>
      <c r="U13" s="303">
        <v>2</v>
      </c>
      <c r="V13" s="304" t="s">
        <v>187</v>
      </c>
      <c r="W13" s="294" t="s">
        <v>1492</v>
      </c>
      <c r="X13" s="294" t="s">
        <v>1493</v>
      </c>
      <c r="Y13" s="294" t="s">
        <v>1494</v>
      </c>
      <c r="Z13" s="294" t="s">
        <v>1495</v>
      </c>
      <c r="AA13" s="294" t="s">
        <v>1496</v>
      </c>
      <c r="AB13" s="294" t="s">
        <v>1497</v>
      </c>
      <c r="AC13" s="294" t="s">
        <v>1498</v>
      </c>
      <c r="AD13" s="295">
        <f t="shared" si="1"/>
        <v>15</v>
      </c>
      <c r="AE13" s="295">
        <f t="shared" si="2"/>
        <v>15</v>
      </c>
      <c r="AF13" s="295">
        <f t="shared" si="3"/>
        <v>15</v>
      </c>
      <c r="AG13" s="295">
        <f t="shared" si="4"/>
        <v>15</v>
      </c>
      <c r="AH13" s="295">
        <f t="shared" si="5"/>
        <v>15</v>
      </c>
      <c r="AI13" s="295">
        <f t="shared" si="6"/>
        <v>15</v>
      </c>
      <c r="AJ13" s="295">
        <f t="shared" si="7"/>
        <v>10</v>
      </c>
      <c r="AK13" s="295">
        <f t="shared" si="8"/>
        <v>100</v>
      </c>
      <c r="AL13" s="295" t="str">
        <f t="shared" si="13"/>
        <v>Fuerte</v>
      </c>
      <c r="AM13" s="294" t="s">
        <v>1499</v>
      </c>
      <c r="AN13" s="295" t="str">
        <f t="shared" si="14"/>
        <v>Fuerte</v>
      </c>
      <c r="AO13" s="295">
        <f t="shared" si="9"/>
        <v>100</v>
      </c>
      <c r="AP13" s="295" t="str">
        <f t="shared" si="15"/>
        <v>No</v>
      </c>
      <c r="AQ13" s="295">
        <f t="shared" si="20"/>
        <v>100</v>
      </c>
      <c r="AR13" s="295" t="str">
        <f t="shared" si="16"/>
        <v>Fuerte</v>
      </c>
      <c r="AS13" s="304" t="s">
        <v>1500</v>
      </c>
      <c r="AT13" s="304" t="s">
        <v>1500</v>
      </c>
      <c r="AU13" s="308">
        <f t="shared" si="17"/>
        <v>2</v>
      </c>
      <c r="AV13" s="308">
        <f t="shared" si="11"/>
        <v>0</v>
      </c>
      <c r="AW13" s="289" t="e">
        <f t="shared" si="12"/>
        <v>#REF!</v>
      </c>
      <c r="AX13" s="853"/>
      <c r="AY13" s="853"/>
      <c r="AZ13" s="853"/>
      <c r="BA13" s="855"/>
      <c r="BB13" s="853"/>
    </row>
    <row r="14" spans="1:54" s="268" customFormat="1" ht="213.75" x14ac:dyDescent="0.2">
      <c r="A14" s="289">
        <v>7</v>
      </c>
      <c r="B14" s="289" t="s">
        <v>1435</v>
      </c>
      <c r="C14" s="270"/>
      <c r="D14" s="303" t="s">
        <v>1436</v>
      </c>
      <c r="E14" s="309" t="s">
        <v>1562</v>
      </c>
      <c r="F14" s="269" t="s">
        <v>906</v>
      </c>
      <c r="G14" s="269">
        <v>0</v>
      </c>
      <c r="H14" s="269" t="s">
        <v>1551</v>
      </c>
      <c r="I14" s="304" t="s">
        <v>1484</v>
      </c>
      <c r="J14" s="307" t="s">
        <v>1242</v>
      </c>
      <c r="K14" s="303" t="s">
        <v>1486</v>
      </c>
      <c r="L14" s="303" t="s">
        <v>1563</v>
      </c>
      <c r="M14" s="307" t="s">
        <v>1242</v>
      </c>
      <c r="N14" s="301" t="s">
        <v>1564</v>
      </c>
      <c r="O14" s="310" t="s">
        <v>1565</v>
      </c>
      <c r="P14" s="311" t="s">
        <v>1304</v>
      </c>
      <c r="Q14" s="311" t="s">
        <v>342</v>
      </c>
      <c r="R14" s="289" t="e">
        <f t="shared" ref="R14:R25" si="21">IF(OR(P14="",Q14=""),"",VLOOKUP(VALUE(CONCATENATE(VLOOKUP(Q14,TImpacto,2,FALSE),VLOOKUP(P14,TProbabilidad,2,FALSE))),TMapaCalor,2,FALSE))</f>
        <v>#REF!</v>
      </c>
      <c r="S14" s="311" t="s">
        <v>1490</v>
      </c>
      <c r="T14" s="302" t="s">
        <v>1566</v>
      </c>
      <c r="U14" s="303">
        <v>1</v>
      </c>
      <c r="V14" s="304" t="s">
        <v>187</v>
      </c>
      <c r="W14" s="294" t="s">
        <v>1492</v>
      </c>
      <c r="X14" s="294" t="s">
        <v>1493</v>
      </c>
      <c r="Y14" s="294" t="s">
        <v>1494</v>
      </c>
      <c r="Z14" s="294" t="s">
        <v>1495</v>
      </c>
      <c r="AA14" s="294" t="s">
        <v>1496</v>
      </c>
      <c r="AB14" s="294" t="s">
        <v>1497</v>
      </c>
      <c r="AC14" s="294" t="s">
        <v>1498</v>
      </c>
      <c r="AD14" s="295">
        <f t="shared" si="1"/>
        <v>15</v>
      </c>
      <c r="AE14" s="295">
        <f t="shared" si="2"/>
        <v>15</v>
      </c>
      <c r="AF14" s="295">
        <f t="shared" si="3"/>
        <v>15</v>
      </c>
      <c r="AG14" s="295">
        <f t="shared" si="4"/>
        <v>15</v>
      </c>
      <c r="AH14" s="295">
        <f t="shared" si="5"/>
        <v>15</v>
      </c>
      <c r="AI14" s="295">
        <f t="shared" si="6"/>
        <v>15</v>
      </c>
      <c r="AJ14" s="295">
        <f t="shared" si="7"/>
        <v>10</v>
      </c>
      <c r="AK14" s="295">
        <f t="shared" si="8"/>
        <v>100</v>
      </c>
      <c r="AL14" s="295" t="str">
        <f t="shared" si="13"/>
        <v>Fuerte</v>
      </c>
      <c r="AM14" s="294" t="s">
        <v>1499</v>
      </c>
      <c r="AN14" s="295" t="str">
        <f t="shared" si="14"/>
        <v>Fuerte</v>
      </c>
      <c r="AO14" s="295">
        <f t="shared" si="9"/>
        <v>100</v>
      </c>
      <c r="AP14" s="295" t="str">
        <f t="shared" si="15"/>
        <v>No</v>
      </c>
      <c r="AQ14" s="295">
        <f t="shared" si="20"/>
        <v>100</v>
      </c>
      <c r="AR14" s="295" t="str">
        <f t="shared" si="16"/>
        <v>Fuerte</v>
      </c>
      <c r="AS14" s="304" t="s">
        <v>1500</v>
      </c>
      <c r="AT14" s="304" t="s">
        <v>1500</v>
      </c>
      <c r="AU14" s="308">
        <f t="shared" si="17"/>
        <v>2</v>
      </c>
      <c r="AV14" s="308">
        <f t="shared" si="11"/>
        <v>0</v>
      </c>
      <c r="AW14" s="312" t="e">
        <f t="shared" ref="AW14:AW25" si="22">IF(OR(P14="",Q14="",AU14="Verifique",AV14="Verifique"),"",VLOOKUP(VALUE(CONCATENATE(IF((VLOOKUP(Q14,TImpacto,2,FALSE)-AV14)&lt;1,1,(VLOOKUP(Q14,TImpacto,2,FALSE)-AV14)),IF((VLOOKUP(P14,TProbabilidad,2,FALSE)-AU14)&lt;1,1,(VLOOKUP(P14,TProbabilidad,2,FALSE)-AU14)))),TMapaCalor,2,FALSE))</f>
        <v>#REF!</v>
      </c>
      <c r="AX14" s="852" t="s">
        <v>1567</v>
      </c>
      <c r="AY14" s="852" t="s">
        <v>1568</v>
      </c>
      <c r="AZ14" s="852" t="s">
        <v>1569</v>
      </c>
      <c r="BA14" s="854">
        <v>46022</v>
      </c>
      <c r="BB14" s="852" t="s">
        <v>1570</v>
      </c>
    </row>
    <row r="15" spans="1:54" s="268" customFormat="1" ht="213.75" x14ac:dyDescent="0.2">
      <c r="A15" s="289">
        <v>7</v>
      </c>
      <c r="B15" s="289" t="s">
        <v>1435</v>
      </c>
      <c r="C15" s="303"/>
      <c r="D15" s="303" t="s">
        <v>1436</v>
      </c>
      <c r="E15" s="309" t="s">
        <v>1562</v>
      </c>
      <c r="F15" s="269" t="s">
        <v>906</v>
      </c>
      <c r="G15" s="269">
        <v>0</v>
      </c>
      <c r="H15" s="269" t="s">
        <v>1551</v>
      </c>
      <c r="I15" s="304" t="s">
        <v>1484</v>
      </c>
      <c r="J15" s="307" t="s">
        <v>1242</v>
      </c>
      <c r="K15" s="303" t="s">
        <v>1486</v>
      </c>
      <c r="L15" s="303" t="s">
        <v>1563</v>
      </c>
      <c r="M15" s="307" t="s">
        <v>1242</v>
      </c>
      <c r="N15" s="301" t="s">
        <v>1564</v>
      </c>
      <c r="O15" s="310" t="s">
        <v>1565</v>
      </c>
      <c r="P15" s="311" t="s">
        <v>1304</v>
      </c>
      <c r="Q15" s="311" t="s">
        <v>342</v>
      </c>
      <c r="R15" s="289" t="e">
        <f t="shared" si="21"/>
        <v>#REF!</v>
      </c>
      <c r="S15" s="304" t="s">
        <v>1490</v>
      </c>
      <c r="T15" s="313" t="s">
        <v>1571</v>
      </c>
      <c r="U15" s="303">
        <v>2</v>
      </c>
      <c r="V15" s="304" t="s">
        <v>187</v>
      </c>
      <c r="W15" s="294" t="s">
        <v>1492</v>
      </c>
      <c r="X15" s="294" t="s">
        <v>1493</v>
      </c>
      <c r="Y15" s="294" t="s">
        <v>1494</v>
      </c>
      <c r="Z15" s="294" t="s">
        <v>1495</v>
      </c>
      <c r="AA15" s="294" t="s">
        <v>1496</v>
      </c>
      <c r="AB15" s="294" t="s">
        <v>1497</v>
      </c>
      <c r="AC15" s="294" t="s">
        <v>1498</v>
      </c>
      <c r="AD15" s="295">
        <f t="shared" si="1"/>
        <v>15</v>
      </c>
      <c r="AE15" s="295">
        <f t="shared" si="2"/>
        <v>15</v>
      </c>
      <c r="AF15" s="295">
        <f t="shared" si="3"/>
        <v>15</v>
      </c>
      <c r="AG15" s="295">
        <f t="shared" si="4"/>
        <v>15</v>
      </c>
      <c r="AH15" s="295">
        <f t="shared" si="5"/>
        <v>15</v>
      </c>
      <c r="AI15" s="295">
        <f t="shared" si="6"/>
        <v>15</v>
      </c>
      <c r="AJ15" s="295">
        <f t="shared" si="7"/>
        <v>10</v>
      </c>
      <c r="AK15" s="295">
        <f t="shared" si="8"/>
        <v>100</v>
      </c>
      <c r="AL15" s="295" t="str">
        <f t="shared" si="13"/>
        <v>Fuerte</v>
      </c>
      <c r="AM15" s="294" t="s">
        <v>1499</v>
      </c>
      <c r="AN15" s="295" t="str">
        <f t="shared" si="14"/>
        <v>Fuerte</v>
      </c>
      <c r="AO15" s="295">
        <f t="shared" si="9"/>
        <v>100</v>
      </c>
      <c r="AP15" s="295" t="str">
        <f t="shared" si="15"/>
        <v>No</v>
      </c>
      <c r="AQ15" s="295">
        <f t="shared" si="20"/>
        <v>100</v>
      </c>
      <c r="AR15" s="295" t="str">
        <f t="shared" si="16"/>
        <v>Fuerte</v>
      </c>
      <c r="AS15" s="304" t="s">
        <v>1500</v>
      </c>
      <c r="AT15" s="304" t="s">
        <v>1500</v>
      </c>
      <c r="AU15" s="308">
        <f t="shared" si="17"/>
        <v>2</v>
      </c>
      <c r="AV15" s="308">
        <f t="shared" si="11"/>
        <v>0</v>
      </c>
      <c r="AW15" s="312" t="e">
        <f t="shared" si="22"/>
        <v>#REF!</v>
      </c>
      <c r="AX15" s="853"/>
      <c r="AY15" s="853"/>
      <c r="AZ15" s="853"/>
      <c r="BA15" s="855"/>
      <c r="BB15" s="853"/>
    </row>
    <row r="16" spans="1:54" s="268" customFormat="1" ht="322.5" customHeight="1" x14ac:dyDescent="0.2">
      <c r="A16" s="289">
        <v>7</v>
      </c>
      <c r="B16" s="289" t="s">
        <v>1435</v>
      </c>
      <c r="C16" s="303"/>
      <c r="D16" s="303" t="s">
        <v>1436</v>
      </c>
      <c r="E16" s="309" t="s">
        <v>1562</v>
      </c>
      <c r="F16" s="269" t="s">
        <v>906</v>
      </c>
      <c r="G16" s="269">
        <v>0</v>
      </c>
      <c r="H16" s="269" t="s">
        <v>1551</v>
      </c>
      <c r="I16" s="304" t="s">
        <v>1484</v>
      </c>
      <c r="J16" s="307" t="s">
        <v>1242</v>
      </c>
      <c r="K16" s="303" t="s">
        <v>1486</v>
      </c>
      <c r="L16" s="303" t="s">
        <v>1563</v>
      </c>
      <c r="M16" s="307" t="s">
        <v>1242</v>
      </c>
      <c r="N16" s="301" t="s">
        <v>1564</v>
      </c>
      <c r="O16" s="310" t="s">
        <v>1565</v>
      </c>
      <c r="P16" s="311" t="s">
        <v>1304</v>
      </c>
      <c r="Q16" s="311" t="s">
        <v>342</v>
      </c>
      <c r="R16" s="289" t="e">
        <f t="shared" si="21"/>
        <v>#REF!</v>
      </c>
      <c r="S16" s="304" t="s">
        <v>1490</v>
      </c>
      <c r="T16" s="313" t="s">
        <v>1572</v>
      </c>
      <c r="U16" s="303">
        <v>3</v>
      </c>
      <c r="V16" s="304" t="s">
        <v>228</v>
      </c>
      <c r="W16" s="294" t="s">
        <v>1492</v>
      </c>
      <c r="X16" s="294" t="s">
        <v>1493</v>
      </c>
      <c r="Y16" s="294" t="s">
        <v>1494</v>
      </c>
      <c r="Z16" s="294" t="s">
        <v>1495</v>
      </c>
      <c r="AA16" s="294" t="s">
        <v>1496</v>
      </c>
      <c r="AB16" s="294" t="s">
        <v>1497</v>
      </c>
      <c r="AC16" s="294" t="s">
        <v>1498</v>
      </c>
      <c r="AD16" s="295">
        <f t="shared" si="1"/>
        <v>15</v>
      </c>
      <c r="AE16" s="295">
        <f t="shared" si="2"/>
        <v>15</v>
      </c>
      <c r="AF16" s="295">
        <f t="shared" si="3"/>
        <v>15</v>
      </c>
      <c r="AG16" s="295">
        <f t="shared" si="4"/>
        <v>15</v>
      </c>
      <c r="AH16" s="295">
        <f t="shared" si="5"/>
        <v>15</v>
      </c>
      <c r="AI16" s="295">
        <f t="shared" si="6"/>
        <v>15</v>
      </c>
      <c r="AJ16" s="295">
        <f t="shared" si="7"/>
        <v>10</v>
      </c>
      <c r="AK16" s="295">
        <f t="shared" si="8"/>
        <v>100</v>
      </c>
      <c r="AL16" s="295" t="str">
        <f t="shared" si="13"/>
        <v>Fuerte</v>
      </c>
      <c r="AM16" s="294" t="s">
        <v>1499</v>
      </c>
      <c r="AN16" s="295" t="str">
        <f t="shared" si="14"/>
        <v>Fuerte</v>
      </c>
      <c r="AO16" s="295">
        <f t="shared" si="9"/>
        <v>100</v>
      </c>
      <c r="AP16" s="295" t="str">
        <f t="shared" si="15"/>
        <v>No</v>
      </c>
      <c r="AQ16" s="295">
        <f t="shared" si="20"/>
        <v>100</v>
      </c>
      <c r="AR16" s="295" t="str">
        <f t="shared" si="16"/>
        <v>Fuerte</v>
      </c>
      <c r="AS16" s="304" t="s">
        <v>1500</v>
      </c>
      <c r="AT16" s="304" t="s">
        <v>1500</v>
      </c>
      <c r="AU16" s="308">
        <f t="shared" si="17"/>
        <v>2</v>
      </c>
      <c r="AV16" s="308">
        <f t="shared" si="11"/>
        <v>0</v>
      </c>
      <c r="AW16" s="312" t="e">
        <f>IF(OR(P16="",Q16="",AU16="Verifique",AV16="Verifique"),"",VLOOKUP(VALUE(CONCATENATE(IF((VLOOKUP(Q16,TImpacto,2,FALSE)-AV16)&lt;1,1,(VLOOKUP(Q16,TImpacto,2,FALSE)-AV16)),IF((VLOOKUP(P16,TProbabilidad,2,FALSE)-AU16)&lt;1,1,(VLOOKUP(P16,TProbabilidad,2,FALSE)-AU16)))),TMapaCalor,2,FALSE))</f>
        <v>#REF!</v>
      </c>
      <c r="AX16" s="856"/>
      <c r="AY16" s="856"/>
      <c r="AZ16" s="856"/>
      <c r="BA16" s="857"/>
      <c r="BB16" s="856"/>
    </row>
    <row r="17" spans="1:54" s="268" customFormat="1" ht="156" customHeight="1" x14ac:dyDescent="0.2">
      <c r="A17" s="289">
        <v>8</v>
      </c>
      <c r="B17" s="303" t="s">
        <v>1437</v>
      </c>
      <c r="C17" s="303"/>
      <c r="D17" s="301" t="s">
        <v>1438</v>
      </c>
      <c r="E17" s="301" t="s">
        <v>1573</v>
      </c>
      <c r="F17" s="269" t="s">
        <v>842</v>
      </c>
      <c r="G17" s="269">
        <v>0</v>
      </c>
      <c r="H17" s="269" t="s">
        <v>1574</v>
      </c>
      <c r="I17" s="304" t="s">
        <v>1484</v>
      </c>
      <c r="J17" s="307" t="s">
        <v>1242</v>
      </c>
      <c r="K17" s="303" t="s">
        <v>1575</v>
      </c>
      <c r="L17" s="303" t="s">
        <v>1576</v>
      </c>
      <c r="M17" s="307" t="s">
        <v>1242</v>
      </c>
      <c r="N17" s="301" t="s">
        <v>1577</v>
      </c>
      <c r="O17" s="310" t="s">
        <v>1578</v>
      </c>
      <c r="P17" s="311" t="s">
        <v>1307</v>
      </c>
      <c r="Q17" s="311" t="s">
        <v>342</v>
      </c>
      <c r="R17" s="289" t="e">
        <f t="shared" ref="R17:R20" si="23">IF(OR(P17="",Q17=""),"",VLOOKUP(VALUE(CONCATENATE(VLOOKUP(Q17,TImpacto,2,FALSE),VLOOKUP(P17,TProbabilidad,2,FALSE))),TMapaCalor,2,FALSE))</f>
        <v>#REF!</v>
      </c>
      <c r="S17" s="304" t="s">
        <v>1490</v>
      </c>
      <c r="T17" s="313" t="s">
        <v>1579</v>
      </c>
      <c r="U17" s="303">
        <v>1</v>
      </c>
      <c r="V17" s="304" t="s">
        <v>187</v>
      </c>
      <c r="W17" s="294" t="s">
        <v>1492</v>
      </c>
      <c r="X17" s="294" t="s">
        <v>1493</v>
      </c>
      <c r="Y17" s="294" t="s">
        <v>1494</v>
      </c>
      <c r="Z17" s="294" t="s">
        <v>1495</v>
      </c>
      <c r="AA17" s="294" t="s">
        <v>1496</v>
      </c>
      <c r="AB17" s="294" t="s">
        <v>1497</v>
      </c>
      <c r="AC17" s="294" t="s">
        <v>1498</v>
      </c>
      <c r="AD17" s="295">
        <f t="shared" si="1"/>
        <v>15</v>
      </c>
      <c r="AE17" s="295">
        <f t="shared" si="2"/>
        <v>15</v>
      </c>
      <c r="AF17" s="295">
        <f t="shared" si="3"/>
        <v>15</v>
      </c>
      <c r="AG17" s="295">
        <f t="shared" si="4"/>
        <v>15</v>
      </c>
      <c r="AH17" s="295">
        <f t="shared" si="5"/>
        <v>15</v>
      </c>
      <c r="AI17" s="295">
        <f t="shared" si="6"/>
        <v>15</v>
      </c>
      <c r="AJ17" s="295">
        <f t="shared" si="7"/>
        <v>10</v>
      </c>
      <c r="AK17" s="295">
        <f t="shared" si="8"/>
        <v>100</v>
      </c>
      <c r="AL17" s="295" t="str">
        <f t="shared" si="13"/>
        <v>Fuerte</v>
      </c>
      <c r="AM17" s="294" t="s">
        <v>1499</v>
      </c>
      <c r="AN17" s="295" t="str">
        <f t="shared" si="14"/>
        <v>Fuerte</v>
      </c>
      <c r="AO17" s="295">
        <f t="shared" si="9"/>
        <v>100</v>
      </c>
      <c r="AP17" s="295" t="str">
        <f t="shared" si="15"/>
        <v>No</v>
      </c>
      <c r="AQ17" s="295">
        <f t="shared" si="20"/>
        <v>100</v>
      </c>
      <c r="AR17" s="295" t="str">
        <f t="shared" si="16"/>
        <v>Fuerte</v>
      </c>
      <c r="AS17" s="304" t="s">
        <v>1500</v>
      </c>
      <c r="AT17" s="304" t="s">
        <v>1500</v>
      </c>
      <c r="AU17" s="308">
        <f t="shared" si="17"/>
        <v>2</v>
      </c>
      <c r="AV17" s="308">
        <f t="shared" si="11"/>
        <v>0</v>
      </c>
      <c r="AW17" s="289" t="e">
        <f t="shared" ref="AW17" si="24">IF(OR(P17="",Q17="",AU17="Verifique",AV17="Verifique"),"",VLOOKUP(VALUE(CONCATENATE(IF((VLOOKUP(Q17,TImpacto,2,FALSE)-AV17)&lt;1,1,(VLOOKUP(Q17,TImpacto,2,FALSE)-AV17)),IF((VLOOKUP(P17,TProbabilidad,2,FALSE)-AU17)&lt;1,1,(VLOOKUP(P17,TProbabilidad,2,FALSE)-AU17)))),TMapaCalor,2,FALSE))</f>
        <v>#REF!</v>
      </c>
      <c r="AX17" s="852" t="s">
        <v>1580</v>
      </c>
      <c r="AY17" s="852" t="s">
        <v>1581</v>
      </c>
      <c r="AZ17" s="852" t="s">
        <v>1582</v>
      </c>
      <c r="BA17" s="854">
        <v>46006</v>
      </c>
      <c r="BB17" s="852" t="s">
        <v>1583</v>
      </c>
    </row>
    <row r="18" spans="1:54" s="268" customFormat="1" ht="225" customHeight="1" x14ac:dyDescent="0.2">
      <c r="A18" s="289">
        <v>8</v>
      </c>
      <c r="B18" s="303" t="s">
        <v>1437</v>
      </c>
      <c r="C18" s="303"/>
      <c r="D18" s="301" t="s">
        <v>1438</v>
      </c>
      <c r="E18" s="301" t="s">
        <v>1573</v>
      </c>
      <c r="F18" s="269" t="s">
        <v>842</v>
      </c>
      <c r="G18" s="269">
        <v>0</v>
      </c>
      <c r="H18" s="269" t="s">
        <v>1574</v>
      </c>
      <c r="I18" s="304" t="s">
        <v>1484</v>
      </c>
      <c r="J18" s="307" t="s">
        <v>1242</v>
      </c>
      <c r="K18" s="303" t="s">
        <v>1575</v>
      </c>
      <c r="L18" s="303" t="s">
        <v>1576</v>
      </c>
      <c r="M18" s="307" t="s">
        <v>1242</v>
      </c>
      <c r="N18" s="301" t="s">
        <v>1577</v>
      </c>
      <c r="O18" s="310" t="s">
        <v>1578</v>
      </c>
      <c r="P18" s="311" t="s">
        <v>1307</v>
      </c>
      <c r="Q18" s="311" t="s">
        <v>342</v>
      </c>
      <c r="R18" s="289" t="e">
        <f t="shared" si="23"/>
        <v>#REF!</v>
      </c>
      <c r="S18" s="304" t="s">
        <v>1490</v>
      </c>
      <c r="T18" s="313" t="s">
        <v>1584</v>
      </c>
      <c r="U18" s="303">
        <v>2</v>
      </c>
      <c r="V18" s="304" t="s">
        <v>187</v>
      </c>
      <c r="W18" s="294" t="s">
        <v>1492</v>
      </c>
      <c r="X18" s="294" t="s">
        <v>1493</v>
      </c>
      <c r="Y18" s="294" t="s">
        <v>1494</v>
      </c>
      <c r="Z18" s="294" t="s">
        <v>1495</v>
      </c>
      <c r="AA18" s="294" t="s">
        <v>1496</v>
      </c>
      <c r="AB18" s="294" t="s">
        <v>1497</v>
      </c>
      <c r="AC18" s="294" t="s">
        <v>1498</v>
      </c>
      <c r="AD18" s="295">
        <f t="shared" si="1"/>
        <v>15</v>
      </c>
      <c r="AE18" s="295">
        <f t="shared" si="2"/>
        <v>15</v>
      </c>
      <c r="AF18" s="295">
        <f t="shared" si="3"/>
        <v>15</v>
      </c>
      <c r="AG18" s="295">
        <f>IF(Z18="Prevenir",15,IF(Z18="Detectar",10,IF(Z18="No es un Control",0,"Seleccione")))</f>
        <v>15</v>
      </c>
      <c r="AH18" s="295">
        <f t="shared" si="5"/>
        <v>15</v>
      </c>
      <c r="AI18" s="295">
        <f t="shared" si="6"/>
        <v>15</v>
      </c>
      <c r="AJ18" s="295">
        <f t="shared" si="7"/>
        <v>10</v>
      </c>
      <c r="AK18" s="295">
        <f t="shared" si="8"/>
        <v>100</v>
      </c>
      <c r="AL18" s="295" t="str">
        <f t="shared" si="13"/>
        <v>Fuerte</v>
      </c>
      <c r="AM18" s="294" t="s">
        <v>1499</v>
      </c>
      <c r="AN18" s="295" t="str">
        <f t="shared" si="14"/>
        <v>Fuerte</v>
      </c>
      <c r="AO18" s="295">
        <f t="shared" si="9"/>
        <v>100</v>
      </c>
      <c r="AP18" s="295" t="str">
        <f t="shared" si="15"/>
        <v>No</v>
      </c>
      <c r="AQ18" s="295">
        <f t="shared" si="20"/>
        <v>100</v>
      </c>
      <c r="AR18" s="295" t="str">
        <f t="shared" si="16"/>
        <v>Fuerte</v>
      </c>
      <c r="AS18" s="304" t="s">
        <v>1500</v>
      </c>
      <c r="AT18" s="304" t="s">
        <v>1500</v>
      </c>
      <c r="AU18" s="308">
        <f t="shared" si="17"/>
        <v>2</v>
      </c>
      <c r="AV18" s="308">
        <f t="shared" si="11"/>
        <v>0</v>
      </c>
      <c r="AW18" s="289" t="e">
        <f t="shared" ref="AW18:AW20" si="25">IF(OR(P18="",Q18="",AU18="Verifique",AV18="Verifique"),"",VLOOKUP(VALUE(CONCATENATE(IF((VLOOKUP(Q18,TImpacto,2,FALSE)-AV18)&lt;1,1,(VLOOKUP(Q18,TImpacto,2,FALSE)-AV18)),IF((VLOOKUP(P18,TProbabilidad,2,FALSE)-AU18)&lt;1,1,(VLOOKUP(P18,TProbabilidad,2,FALSE)-AU18)))),TMapaCalor,2,FALSE))</f>
        <v>#REF!</v>
      </c>
      <c r="AX18" s="853"/>
      <c r="AY18" s="853"/>
      <c r="AZ18" s="853"/>
      <c r="BA18" s="855"/>
      <c r="BB18" s="853"/>
    </row>
    <row r="19" spans="1:54" s="268" customFormat="1" ht="225" customHeight="1" x14ac:dyDescent="0.2">
      <c r="A19" s="289">
        <v>8</v>
      </c>
      <c r="B19" s="303" t="s">
        <v>1437</v>
      </c>
      <c r="C19" s="303"/>
      <c r="D19" s="301" t="s">
        <v>1438</v>
      </c>
      <c r="E19" s="301" t="s">
        <v>1573</v>
      </c>
      <c r="F19" s="269" t="s">
        <v>842</v>
      </c>
      <c r="G19" s="269">
        <v>0</v>
      </c>
      <c r="H19" s="269" t="s">
        <v>1574</v>
      </c>
      <c r="I19" s="304" t="s">
        <v>1484</v>
      </c>
      <c r="J19" s="307" t="s">
        <v>1242</v>
      </c>
      <c r="K19" s="303" t="s">
        <v>1575</v>
      </c>
      <c r="L19" s="303" t="s">
        <v>1576</v>
      </c>
      <c r="M19" s="307" t="s">
        <v>1242</v>
      </c>
      <c r="N19" s="301" t="s">
        <v>1577</v>
      </c>
      <c r="O19" s="310" t="s">
        <v>1578</v>
      </c>
      <c r="P19" s="311" t="s">
        <v>1307</v>
      </c>
      <c r="Q19" s="311" t="s">
        <v>342</v>
      </c>
      <c r="R19" s="289" t="e">
        <f t="shared" si="23"/>
        <v>#REF!</v>
      </c>
      <c r="S19" s="304" t="s">
        <v>1490</v>
      </c>
      <c r="T19" s="313" t="s">
        <v>1585</v>
      </c>
      <c r="U19" s="303">
        <v>3</v>
      </c>
      <c r="V19" s="304" t="s">
        <v>228</v>
      </c>
      <c r="W19" s="294" t="s">
        <v>1492</v>
      </c>
      <c r="X19" s="294" t="s">
        <v>1493</v>
      </c>
      <c r="Y19" s="294" t="s">
        <v>1494</v>
      </c>
      <c r="Z19" s="294" t="s">
        <v>1548</v>
      </c>
      <c r="AA19" s="294" t="s">
        <v>1496</v>
      </c>
      <c r="AB19" s="294" t="s">
        <v>1497</v>
      </c>
      <c r="AC19" s="294" t="s">
        <v>1498</v>
      </c>
      <c r="AD19" s="295">
        <f t="shared" si="1"/>
        <v>15</v>
      </c>
      <c r="AE19" s="295">
        <f t="shared" si="2"/>
        <v>15</v>
      </c>
      <c r="AF19" s="295">
        <f t="shared" si="3"/>
        <v>15</v>
      </c>
      <c r="AG19" s="295">
        <f>IF(Z19="Prevenir",15,IF(Z19="Detectar",10,IF(Z19="No es un Control",0,"Seleccione")))</f>
        <v>10</v>
      </c>
      <c r="AH19" s="295">
        <f t="shared" si="5"/>
        <v>15</v>
      </c>
      <c r="AI19" s="295">
        <f t="shared" si="6"/>
        <v>15</v>
      </c>
      <c r="AJ19" s="295">
        <f t="shared" si="7"/>
        <v>10</v>
      </c>
      <c r="AK19" s="295">
        <f t="shared" si="8"/>
        <v>95</v>
      </c>
      <c r="AL19" s="295" t="str">
        <f t="shared" si="13"/>
        <v>Moderado</v>
      </c>
      <c r="AM19" s="294" t="s">
        <v>1499</v>
      </c>
      <c r="AN19" s="295" t="str">
        <f t="shared" si="14"/>
        <v>Moderado</v>
      </c>
      <c r="AO19" s="295">
        <f t="shared" si="9"/>
        <v>50</v>
      </c>
      <c r="AP19" s="295" t="str">
        <f t="shared" si="15"/>
        <v>Si</v>
      </c>
      <c r="AQ19" s="295">
        <f t="shared" si="20"/>
        <v>50</v>
      </c>
      <c r="AR19" s="295" t="str">
        <f t="shared" si="16"/>
        <v>Moderado</v>
      </c>
      <c r="AS19" s="304" t="s">
        <v>1500</v>
      </c>
      <c r="AT19" s="304" t="s">
        <v>1500</v>
      </c>
      <c r="AU19" s="308">
        <f>IF(OR(AR19="",AS19=""),"Verifique",IF(AND(AR19="Fuerte",AS19="Directamente"),2,IF(AND(AR19="Moderado",AS19="Directamente"),1,IF(AND(OR(AR19="Fuerte",AR19="Moderado"),AS19="No disminuye"),0,0))))</f>
        <v>1</v>
      </c>
      <c r="AV19" s="308">
        <f>IF(OR(AR19="",AT19=""),"Verifique",IF(OR(AND(AR19="Moderado",AT19="Indirectamente"),AT19="No disminuye",I19="Corrupción"),0,IF(OR(AND(AR19="Fuerte",AT19="Indirectamente"),AND(AR19="Moderado",AT19="Directamente")),1,IF(AND(AR19="Fuerte",AT19="Directamente"),2,0))))</f>
        <v>0</v>
      </c>
      <c r="AW19" s="289" t="e">
        <f>IF(OR(P19="",Q19="",AU19="Verifique",AV19="Verifique"),"",VLOOKUP(VALUE(CONCATENATE(IF((VLOOKUP(Q19,TImpacto,2,FALSE)-AV19)&lt;1,1,(VLOOKUP(Q19,TImpacto,2,FALSE)-AV19)),IF((VLOOKUP(P19,TProbabilidad,2,FALSE)-AU19)&lt;1,1,(VLOOKUP(P19,TProbabilidad,2,FALSE)-AU19)))),TMapaCalor,2,FALSE))</f>
        <v>#REF!</v>
      </c>
      <c r="AX19" s="856"/>
      <c r="AY19" s="856"/>
      <c r="AZ19" s="856"/>
      <c r="BA19" s="857"/>
      <c r="BB19" s="853"/>
    </row>
    <row r="20" spans="1:54" s="268" customFormat="1" ht="225" customHeight="1" x14ac:dyDescent="0.2">
      <c r="A20" s="289">
        <v>8</v>
      </c>
      <c r="B20" s="303" t="s">
        <v>1437</v>
      </c>
      <c r="C20" s="303"/>
      <c r="D20" s="301" t="s">
        <v>1438</v>
      </c>
      <c r="E20" s="301" t="s">
        <v>1573</v>
      </c>
      <c r="F20" s="269" t="s">
        <v>842</v>
      </c>
      <c r="G20" s="269">
        <v>0</v>
      </c>
      <c r="H20" s="269" t="s">
        <v>1574</v>
      </c>
      <c r="I20" s="304" t="s">
        <v>1484</v>
      </c>
      <c r="J20" s="307" t="s">
        <v>1242</v>
      </c>
      <c r="K20" s="303" t="s">
        <v>1575</v>
      </c>
      <c r="L20" s="303" t="s">
        <v>1576</v>
      </c>
      <c r="M20" s="307" t="s">
        <v>1242</v>
      </c>
      <c r="N20" s="301" t="s">
        <v>1577</v>
      </c>
      <c r="O20" s="310" t="s">
        <v>1578</v>
      </c>
      <c r="P20" s="311" t="s">
        <v>1307</v>
      </c>
      <c r="Q20" s="311" t="s">
        <v>342</v>
      </c>
      <c r="R20" s="289" t="e">
        <f t="shared" si="23"/>
        <v>#REF!</v>
      </c>
      <c r="S20" s="304" t="s">
        <v>1490</v>
      </c>
      <c r="T20" s="302" t="s">
        <v>1586</v>
      </c>
      <c r="U20" s="303">
        <v>4</v>
      </c>
      <c r="V20" s="304" t="s">
        <v>228</v>
      </c>
      <c r="W20" s="294" t="s">
        <v>1492</v>
      </c>
      <c r="X20" s="294" t="s">
        <v>1493</v>
      </c>
      <c r="Y20" s="294" t="s">
        <v>1494</v>
      </c>
      <c r="Z20" s="294" t="s">
        <v>1548</v>
      </c>
      <c r="AA20" s="294" t="s">
        <v>1496</v>
      </c>
      <c r="AB20" s="294" t="s">
        <v>1497</v>
      </c>
      <c r="AC20" s="294" t="s">
        <v>1498</v>
      </c>
      <c r="AD20" s="295">
        <f t="shared" si="1"/>
        <v>15</v>
      </c>
      <c r="AE20" s="295">
        <f t="shared" si="2"/>
        <v>15</v>
      </c>
      <c r="AF20" s="295">
        <f t="shared" si="3"/>
        <v>15</v>
      </c>
      <c r="AG20" s="295">
        <f t="shared" ref="AG20" si="26">IF(Z20="Prevenir",15,IF(Z20="Detectar",10,IF(Z20="No es un Control",0,"Seleccione")))</f>
        <v>10</v>
      </c>
      <c r="AH20" s="295">
        <f t="shared" si="5"/>
        <v>15</v>
      </c>
      <c r="AI20" s="295">
        <f t="shared" si="6"/>
        <v>15</v>
      </c>
      <c r="AJ20" s="295">
        <f t="shared" si="7"/>
        <v>10</v>
      </c>
      <c r="AK20" s="295">
        <f t="shared" si="8"/>
        <v>95</v>
      </c>
      <c r="AL20" s="295" t="str">
        <f t="shared" si="13"/>
        <v>Moderado</v>
      </c>
      <c r="AM20" s="294" t="s">
        <v>1499</v>
      </c>
      <c r="AN20" s="295" t="str">
        <f t="shared" si="14"/>
        <v>Moderado</v>
      </c>
      <c r="AO20" s="295">
        <f t="shared" si="9"/>
        <v>50</v>
      </c>
      <c r="AP20" s="295" t="str">
        <f t="shared" si="15"/>
        <v>Si</v>
      </c>
      <c r="AQ20" s="295">
        <f t="shared" si="20"/>
        <v>50</v>
      </c>
      <c r="AR20" s="295" t="str">
        <f t="shared" si="16"/>
        <v>Moderado</v>
      </c>
      <c r="AS20" s="304" t="s">
        <v>1500</v>
      </c>
      <c r="AT20" s="304" t="s">
        <v>1500</v>
      </c>
      <c r="AU20" s="308">
        <f t="shared" si="17"/>
        <v>1</v>
      </c>
      <c r="AV20" s="308">
        <f t="shared" si="11"/>
        <v>0</v>
      </c>
      <c r="AW20" s="289" t="e">
        <f t="shared" si="25"/>
        <v>#REF!</v>
      </c>
      <c r="AX20" s="293" t="s">
        <v>1587</v>
      </c>
      <c r="AY20" s="293" t="s">
        <v>1588</v>
      </c>
      <c r="AZ20" s="293" t="s">
        <v>1582</v>
      </c>
      <c r="BA20" s="298">
        <v>46022</v>
      </c>
      <c r="BB20" s="856"/>
    </row>
    <row r="21" spans="1:54" s="268" customFormat="1" ht="209.25" customHeight="1" x14ac:dyDescent="0.2">
      <c r="A21" s="289">
        <v>9</v>
      </c>
      <c r="B21" s="303" t="s">
        <v>1439</v>
      </c>
      <c r="C21" s="303"/>
      <c r="D21" s="301" t="s">
        <v>1589</v>
      </c>
      <c r="E21" s="301" t="s">
        <v>1590</v>
      </c>
      <c r="F21" s="269" t="s">
        <v>794</v>
      </c>
      <c r="G21" s="269">
        <v>0</v>
      </c>
      <c r="H21" s="269" t="s">
        <v>1591</v>
      </c>
      <c r="I21" s="304" t="s">
        <v>1484</v>
      </c>
      <c r="J21" s="307" t="s">
        <v>1592</v>
      </c>
      <c r="K21" s="303" t="s">
        <v>1537</v>
      </c>
      <c r="L21" s="303" t="s">
        <v>1538</v>
      </c>
      <c r="M21" s="307"/>
      <c r="N21" s="301" t="s">
        <v>1593</v>
      </c>
      <c r="O21" s="301" t="s">
        <v>1594</v>
      </c>
      <c r="P21" s="304" t="s">
        <v>1307</v>
      </c>
      <c r="Q21" s="304" t="s">
        <v>281</v>
      </c>
      <c r="R21" s="289" t="e">
        <f t="shared" si="21"/>
        <v>#REF!</v>
      </c>
      <c r="S21" s="304" t="s">
        <v>1490</v>
      </c>
      <c r="T21" s="611" t="s">
        <v>1595</v>
      </c>
      <c r="U21" s="303">
        <v>1</v>
      </c>
      <c r="V21" s="304" t="s">
        <v>228</v>
      </c>
      <c r="W21" s="294" t="s">
        <v>1492</v>
      </c>
      <c r="X21" s="294" t="s">
        <v>1493</v>
      </c>
      <c r="Y21" s="294" t="s">
        <v>1494</v>
      </c>
      <c r="Z21" s="294" t="s">
        <v>1548</v>
      </c>
      <c r="AA21" s="294" t="s">
        <v>1496</v>
      </c>
      <c r="AB21" s="294" t="s">
        <v>1497</v>
      </c>
      <c r="AC21" s="294" t="s">
        <v>1498</v>
      </c>
      <c r="AD21" s="295">
        <f t="shared" si="1"/>
        <v>15</v>
      </c>
      <c r="AE21" s="295">
        <f t="shared" si="2"/>
        <v>15</v>
      </c>
      <c r="AF21" s="295">
        <f t="shared" si="3"/>
        <v>15</v>
      </c>
      <c r="AG21" s="295">
        <f t="shared" si="4"/>
        <v>10</v>
      </c>
      <c r="AH21" s="295">
        <f t="shared" si="5"/>
        <v>15</v>
      </c>
      <c r="AI21" s="295">
        <f t="shared" si="6"/>
        <v>15</v>
      </c>
      <c r="AJ21" s="295">
        <f t="shared" si="7"/>
        <v>10</v>
      </c>
      <c r="AK21" s="295">
        <f t="shared" si="8"/>
        <v>95</v>
      </c>
      <c r="AL21" s="295" t="str">
        <f t="shared" si="13"/>
        <v>Moderado</v>
      </c>
      <c r="AM21" s="294" t="s">
        <v>1499</v>
      </c>
      <c r="AN21" s="295" t="str">
        <f t="shared" si="14"/>
        <v>Moderado</v>
      </c>
      <c r="AO21" s="295">
        <f t="shared" si="9"/>
        <v>50</v>
      </c>
      <c r="AP21" s="295" t="str">
        <f t="shared" si="15"/>
        <v>Si</v>
      </c>
      <c r="AQ21" s="295">
        <f t="shared" si="20"/>
        <v>50</v>
      </c>
      <c r="AR21" s="295" t="str">
        <f t="shared" si="16"/>
        <v>Moderado</v>
      </c>
      <c r="AS21" s="304" t="s">
        <v>1500</v>
      </c>
      <c r="AT21" s="304" t="s">
        <v>1500</v>
      </c>
      <c r="AU21" s="308">
        <f t="shared" si="17"/>
        <v>1</v>
      </c>
      <c r="AV21" s="308">
        <f t="shared" si="11"/>
        <v>0</v>
      </c>
      <c r="AW21" s="289" t="e">
        <f t="shared" si="22"/>
        <v>#REF!</v>
      </c>
      <c r="AX21" s="293" t="s">
        <v>1596</v>
      </c>
      <c r="AY21" s="293" t="s">
        <v>1588</v>
      </c>
      <c r="AZ21" s="293" t="s">
        <v>1597</v>
      </c>
      <c r="BA21" s="298">
        <v>46006</v>
      </c>
      <c r="BB21" s="293" t="s">
        <v>1598</v>
      </c>
    </row>
    <row r="22" spans="1:54" s="268" customFormat="1" ht="303.75" customHeight="1" x14ac:dyDescent="0.2">
      <c r="A22" s="289">
        <v>10</v>
      </c>
      <c r="B22" s="303" t="s">
        <v>1441</v>
      </c>
      <c r="C22" s="303"/>
      <c r="D22" s="301" t="s">
        <v>1442</v>
      </c>
      <c r="E22" s="270" t="s">
        <v>1599</v>
      </c>
      <c r="F22" s="269" t="s">
        <v>842</v>
      </c>
      <c r="G22" s="269">
        <v>0</v>
      </c>
      <c r="H22" s="269" t="s">
        <v>1574</v>
      </c>
      <c r="I22" s="304" t="s">
        <v>1484</v>
      </c>
      <c r="J22" s="307" t="s">
        <v>1242</v>
      </c>
      <c r="K22" s="303" t="s">
        <v>1600</v>
      </c>
      <c r="L22" s="303" t="s">
        <v>1601</v>
      </c>
      <c r="M22" s="307" t="s">
        <v>1242</v>
      </c>
      <c r="N22" s="301" t="s">
        <v>1602</v>
      </c>
      <c r="O22" s="301" t="s">
        <v>1603</v>
      </c>
      <c r="P22" s="304" t="s">
        <v>1307</v>
      </c>
      <c r="Q22" s="304" t="s">
        <v>281</v>
      </c>
      <c r="R22" s="289" t="e">
        <f t="shared" si="21"/>
        <v>#REF!</v>
      </c>
      <c r="S22" s="304" t="s">
        <v>1490</v>
      </c>
      <c r="T22" s="302" t="s">
        <v>1604</v>
      </c>
      <c r="U22" s="303">
        <v>1</v>
      </c>
      <c r="V22" s="304" t="s">
        <v>187</v>
      </c>
      <c r="W22" s="294" t="s">
        <v>1492</v>
      </c>
      <c r="X22" s="294" t="s">
        <v>1493</v>
      </c>
      <c r="Y22" s="294" t="s">
        <v>1494</v>
      </c>
      <c r="Z22" s="294" t="s">
        <v>1548</v>
      </c>
      <c r="AA22" s="294" t="s">
        <v>1496</v>
      </c>
      <c r="AB22" s="294" t="s">
        <v>1497</v>
      </c>
      <c r="AC22" s="294" t="s">
        <v>1498</v>
      </c>
      <c r="AD22" s="295">
        <f t="shared" si="1"/>
        <v>15</v>
      </c>
      <c r="AE22" s="295">
        <f t="shared" si="2"/>
        <v>15</v>
      </c>
      <c r="AF22" s="295">
        <f t="shared" si="3"/>
        <v>15</v>
      </c>
      <c r="AG22" s="295">
        <f t="shared" si="4"/>
        <v>10</v>
      </c>
      <c r="AH22" s="295">
        <f t="shared" si="5"/>
        <v>15</v>
      </c>
      <c r="AI22" s="295">
        <f t="shared" si="6"/>
        <v>15</v>
      </c>
      <c r="AJ22" s="295">
        <f t="shared" si="7"/>
        <v>10</v>
      </c>
      <c r="AK22" s="295">
        <f t="shared" si="8"/>
        <v>95</v>
      </c>
      <c r="AL22" s="295" t="str">
        <f t="shared" si="13"/>
        <v>Moderado</v>
      </c>
      <c r="AM22" s="294" t="s">
        <v>1499</v>
      </c>
      <c r="AN22" s="295" t="str">
        <f t="shared" si="14"/>
        <v>Moderado</v>
      </c>
      <c r="AO22" s="295">
        <f t="shared" si="9"/>
        <v>50</v>
      </c>
      <c r="AP22" s="295" t="str">
        <f t="shared" si="15"/>
        <v>Si</v>
      </c>
      <c r="AQ22" s="295">
        <f t="shared" si="20"/>
        <v>50</v>
      </c>
      <c r="AR22" s="295" t="str">
        <f t="shared" si="16"/>
        <v>Moderado</v>
      </c>
      <c r="AS22" s="304" t="s">
        <v>1500</v>
      </c>
      <c r="AT22" s="304" t="s">
        <v>1500</v>
      </c>
      <c r="AU22" s="308">
        <f t="shared" si="17"/>
        <v>1</v>
      </c>
      <c r="AV22" s="308">
        <f t="shared" si="11"/>
        <v>0</v>
      </c>
      <c r="AW22" s="289" t="e">
        <f t="shared" si="22"/>
        <v>#REF!</v>
      </c>
      <c r="AX22" s="303" t="s">
        <v>1605</v>
      </c>
      <c r="AY22" s="303" t="s">
        <v>1588</v>
      </c>
      <c r="AZ22" s="303" t="s">
        <v>1606</v>
      </c>
      <c r="BA22" s="306">
        <v>46006</v>
      </c>
      <c r="BB22" s="303" t="s">
        <v>1607</v>
      </c>
    </row>
    <row r="23" spans="1:54" s="268" customFormat="1" ht="340.5" customHeight="1" x14ac:dyDescent="0.2">
      <c r="A23" s="289">
        <v>11</v>
      </c>
      <c r="B23" s="303" t="s">
        <v>1443</v>
      </c>
      <c r="C23" s="303"/>
      <c r="D23" s="315" t="s">
        <v>1444</v>
      </c>
      <c r="E23" s="316" t="s">
        <v>1608</v>
      </c>
      <c r="F23" s="269" t="s">
        <v>842</v>
      </c>
      <c r="G23" s="269">
        <v>0</v>
      </c>
      <c r="H23" s="269" t="s">
        <v>1574</v>
      </c>
      <c r="I23" s="304" t="s">
        <v>1484</v>
      </c>
      <c r="J23" s="307" t="s">
        <v>1242</v>
      </c>
      <c r="K23" s="303" t="s">
        <v>1600</v>
      </c>
      <c r="L23" s="303" t="s">
        <v>1601</v>
      </c>
      <c r="M23" s="307" t="s">
        <v>1242</v>
      </c>
      <c r="N23" s="301" t="s">
        <v>1609</v>
      </c>
      <c r="O23" s="301" t="s">
        <v>1610</v>
      </c>
      <c r="P23" s="304" t="s">
        <v>1307</v>
      </c>
      <c r="Q23" s="304" t="s">
        <v>281</v>
      </c>
      <c r="R23" s="289" t="e">
        <f t="shared" si="21"/>
        <v>#REF!</v>
      </c>
      <c r="S23" s="304" t="s">
        <v>1490</v>
      </c>
      <c r="T23" s="611" t="s">
        <v>1611</v>
      </c>
      <c r="U23" s="303">
        <v>1</v>
      </c>
      <c r="V23" s="304" t="s">
        <v>187</v>
      </c>
      <c r="W23" s="294" t="s">
        <v>1492</v>
      </c>
      <c r="X23" s="294" t="s">
        <v>1493</v>
      </c>
      <c r="Y23" s="294" t="s">
        <v>1494</v>
      </c>
      <c r="Z23" s="294" t="s">
        <v>1548</v>
      </c>
      <c r="AA23" s="294" t="s">
        <v>1496</v>
      </c>
      <c r="AB23" s="294" t="s">
        <v>1497</v>
      </c>
      <c r="AC23" s="294" t="s">
        <v>1498</v>
      </c>
      <c r="AD23" s="295">
        <f t="shared" si="1"/>
        <v>15</v>
      </c>
      <c r="AE23" s="295">
        <f t="shared" si="2"/>
        <v>15</v>
      </c>
      <c r="AF23" s="295">
        <f t="shared" si="3"/>
        <v>15</v>
      </c>
      <c r="AG23" s="295">
        <f t="shared" si="4"/>
        <v>10</v>
      </c>
      <c r="AH23" s="295">
        <f t="shared" si="5"/>
        <v>15</v>
      </c>
      <c r="AI23" s="295">
        <f t="shared" si="6"/>
        <v>15</v>
      </c>
      <c r="AJ23" s="295">
        <f t="shared" si="7"/>
        <v>10</v>
      </c>
      <c r="AK23" s="295">
        <f t="shared" si="8"/>
        <v>95</v>
      </c>
      <c r="AL23" s="295" t="str">
        <f t="shared" si="13"/>
        <v>Moderado</v>
      </c>
      <c r="AM23" s="294" t="s">
        <v>1499</v>
      </c>
      <c r="AN23" s="295" t="str">
        <f t="shared" si="14"/>
        <v>Moderado</v>
      </c>
      <c r="AO23" s="295">
        <f t="shared" si="9"/>
        <v>50</v>
      </c>
      <c r="AP23" s="295" t="str">
        <f t="shared" si="15"/>
        <v>Si</v>
      </c>
      <c r="AQ23" s="295">
        <f t="shared" si="20"/>
        <v>50</v>
      </c>
      <c r="AR23" s="295" t="str">
        <f t="shared" si="16"/>
        <v>Moderado</v>
      </c>
      <c r="AS23" s="304" t="s">
        <v>1500</v>
      </c>
      <c r="AT23" s="304" t="s">
        <v>1500</v>
      </c>
      <c r="AU23" s="308">
        <f t="shared" si="17"/>
        <v>1</v>
      </c>
      <c r="AV23" s="308">
        <f t="shared" si="11"/>
        <v>0</v>
      </c>
      <c r="AW23" s="289" t="e">
        <f t="shared" si="22"/>
        <v>#REF!</v>
      </c>
      <c r="AX23" s="303" t="s">
        <v>1522</v>
      </c>
      <c r="AY23" s="303" t="s">
        <v>1523</v>
      </c>
      <c r="AZ23" s="303" t="s">
        <v>1524</v>
      </c>
      <c r="BA23" s="306">
        <v>45869</v>
      </c>
      <c r="BB23" s="303" t="s">
        <v>1612</v>
      </c>
    </row>
    <row r="24" spans="1:54" s="268" customFormat="1" ht="302.25" customHeight="1" x14ac:dyDescent="0.2">
      <c r="A24" s="289">
        <v>12</v>
      </c>
      <c r="B24" s="303" t="s">
        <v>1445</v>
      </c>
      <c r="C24" s="270"/>
      <c r="D24" s="315" t="s">
        <v>1613</v>
      </c>
      <c r="E24" s="317" t="s">
        <v>1614</v>
      </c>
      <c r="F24" s="269" t="s">
        <v>404</v>
      </c>
      <c r="G24" s="269">
        <v>0</v>
      </c>
      <c r="H24" s="269" t="s">
        <v>1483</v>
      </c>
      <c r="I24" s="304" t="s">
        <v>1484</v>
      </c>
      <c r="J24" s="307" t="s">
        <v>1615</v>
      </c>
      <c r="K24" s="302" t="s">
        <v>1616</v>
      </c>
      <c r="L24" s="302" t="s">
        <v>1617</v>
      </c>
      <c r="M24" s="307" t="s">
        <v>1618</v>
      </c>
      <c r="N24" s="301" t="s">
        <v>1619</v>
      </c>
      <c r="O24" s="301" t="s">
        <v>1620</v>
      </c>
      <c r="P24" s="304" t="s">
        <v>1307</v>
      </c>
      <c r="Q24" s="304" t="s">
        <v>342</v>
      </c>
      <c r="R24" s="289" t="e">
        <f t="shared" si="21"/>
        <v>#REF!</v>
      </c>
      <c r="S24" s="304" t="s">
        <v>1490</v>
      </c>
      <c r="T24" s="598" t="s">
        <v>1621</v>
      </c>
      <c r="U24" s="303">
        <v>1</v>
      </c>
      <c r="V24" s="304" t="s">
        <v>228</v>
      </c>
      <c r="W24" s="294" t="s">
        <v>1492</v>
      </c>
      <c r="X24" s="294" t="s">
        <v>1493</v>
      </c>
      <c r="Y24" s="294" t="s">
        <v>1494</v>
      </c>
      <c r="Z24" s="294" t="s">
        <v>1548</v>
      </c>
      <c r="AA24" s="294" t="s">
        <v>1496</v>
      </c>
      <c r="AB24" s="294" t="s">
        <v>1497</v>
      </c>
      <c r="AC24" s="294" t="s">
        <v>1498</v>
      </c>
      <c r="AD24" s="295">
        <f t="shared" si="1"/>
        <v>15</v>
      </c>
      <c r="AE24" s="295">
        <f t="shared" si="2"/>
        <v>15</v>
      </c>
      <c r="AF24" s="295">
        <f t="shared" si="3"/>
        <v>15</v>
      </c>
      <c r="AG24" s="295">
        <f t="shared" si="4"/>
        <v>10</v>
      </c>
      <c r="AH24" s="295">
        <f t="shared" si="5"/>
        <v>15</v>
      </c>
      <c r="AI24" s="295">
        <f t="shared" si="6"/>
        <v>15</v>
      </c>
      <c r="AJ24" s="295">
        <f t="shared" si="7"/>
        <v>10</v>
      </c>
      <c r="AK24" s="295">
        <f t="shared" si="8"/>
        <v>95</v>
      </c>
      <c r="AL24" s="295" t="str">
        <f t="shared" si="13"/>
        <v>Moderado</v>
      </c>
      <c r="AM24" s="294" t="s">
        <v>1499</v>
      </c>
      <c r="AN24" s="295" t="str">
        <f t="shared" si="14"/>
        <v>Moderado</v>
      </c>
      <c r="AO24" s="295">
        <f t="shared" si="9"/>
        <v>50</v>
      </c>
      <c r="AP24" s="295" t="str">
        <f t="shared" si="15"/>
        <v>Si</v>
      </c>
      <c r="AQ24" s="295">
        <f t="shared" si="20"/>
        <v>50</v>
      </c>
      <c r="AR24" s="295" t="str">
        <f t="shared" si="16"/>
        <v>Moderado</v>
      </c>
      <c r="AS24" s="304" t="s">
        <v>1500</v>
      </c>
      <c r="AT24" s="304" t="s">
        <v>1500</v>
      </c>
      <c r="AU24" s="308">
        <f t="shared" si="17"/>
        <v>1</v>
      </c>
      <c r="AV24" s="308">
        <f t="shared" si="11"/>
        <v>0</v>
      </c>
      <c r="AW24" s="289" t="e">
        <f t="shared" si="22"/>
        <v>#REF!</v>
      </c>
      <c r="AX24" s="852" t="s">
        <v>1622</v>
      </c>
      <c r="AY24" s="852" t="s">
        <v>1623</v>
      </c>
      <c r="AZ24" s="852" t="s">
        <v>1624</v>
      </c>
      <c r="BA24" s="854">
        <v>46001</v>
      </c>
      <c r="BB24" s="852" t="s">
        <v>1625</v>
      </c>
    </row>
    <row r="25" spans="1:54" s="268" customFormat="1" ht="409.5" x14ac:dyDescent="0.2">
      <c r="A25" s="289">
        <v>12</v>
      </c>
      <c r="B25" s="303" t="s">
        <v>1445</v>
      </c>
      <c r="C25" s="318"/>
      <c r="D25" s="315" t="s">
        <v>1446</v>
      </c>
      <c r="E25" s="317" t="s">
        <v>1626</v>
      </c>
      <c r="F25" s="269" t="s">
        <v>404</v>
      </c>
      <c r="G25" s="269">
        <v>0</v>
      </c>
      <c r="H25" s="269" t="s">
        <v>1483</v>
      </c>
      <c r="I25" s="304" t="s">
        <v>1484</v>
      </c>
      <c r="J25" s="307" t="s">
        <v>1615</v>
      </c>
      <c r="K25" s="302" t="s">
        <v>1616</v>
      </c>
      <c r="L25" s="302" t="s">
        <v>1617</v>
      </c>
      <c r="M25" s="307" t="s">
        <v>1618</v>
      </c>
      <c r="N25" s="301" t="s">
        <v>1619</v>
      </c>
      <c r="O25" s="301" t="s">
        <v>1620</v>
      </c>
      <c r="P25" s="304" t="s">
        <v>1307</v>
      </c>
      <c r="Q25" s="304" t="s">
        <v>342</v>
      </c>
      <c r="R25" s="270" t="e">
        <f t="shared" si="21"/>
        <v>#REF!</v>
      </c>
      <c r="S25" s="304" t="s">
        <v>1490</v>
      </c>
      <c r="T25" s="598" t="s">
        <v>1627</v>
      </c>
      <c r="U25" s="303">
        <v>2</v>
      </c>
      <c r="V25" s="304" t="s">
        <v>187</v>
      </c>
      <c r="W25" s="294" t="s">
        <v>1492</v>
      </c>
      <c r="X25" s="294" t="s">
        <v>1493</v>
      </c>
      <c r="Y25" s="294" t="s">
        <v>1494</v>
      </c>
      <c r="Z25" s="294" t="s">
        <v>1495</v>
      </c>
      <c r="AA25" s="294" t="s">
        <v>1496</v>
      </c>
      <c r="AB25" s="294" t="s">
        <v>1628</v>
      </c>
      <c r="AC25" s="294" t="s">
        <v>1498</v>
      </c>
      <c r="AD25" s="295">
        <f t="shared" si="1"/>
        <v>15</v>
      </c>
      <c r="AE25" s="295">
        <f t="shared" si="2"/>
        <v>15</v>
      </c>
      <c r="AF25" s="295">
        <f t="shared" si="3"/>
        <v>15</v>
      </c>
      <c r="AG25" s="295">
        <f t="shared" si="4"/>
        <v>15</v>
      </c>
      <c r="AH25" s="295">
        <f t="shared" si="5"/>
        <v>15</v>
      </c>
      <c r="AI25" s="295">
        <f t="shared" si="6"/>
        <v>0</v>
      </c>
      <c r="AJ25" s="295">
        <f t="shared" si="7"/>
        <v>10</v>
      </c>
      <c r="AK25" s="295">
        <f t="shared" si="8"/>
        <v>85</v>
      </c>
      <c r="AL25" s="295" t="str">
        <f t="shared" si="13"/>
        <v>Débil</v>
      </c>
      <c r="AM25" s="294" t="s">
        <v>1499</v>
      </c>
      <c r="AN25" s="295" t="str">
        <f t="shared" si="14"/>
        <v>Débil</v>
      </c>
      <c r="AO25" s="295">
        <f t="shared" si="9"/>
        <v>0</v>
      </c>
      <c r="AP25" s="295" t="str">
        <f t="shared" si="15"/>
        <v>Si</v>
      </c>
      <c r="AQ25" s="296">
        <f t="shared" ref="AQ25:AQ30" si="27">IF(AO25="Verifique respuestas","",AVERAGE(AO25:AO25))</f>
        <v>0</v>
      </c>
      <c r="AR25" s="296" t="str">
        <f>IF(AQ25="","",IF(AQ25=100,"Fuerte",IF(AND(AQ25&gt;49,AQ25&lt;100),"Moderado",IF(AND(AQ25&gt;=0,AQ25&lt;50),"Débil","Verifique"))))</f>
        <v>Débil</v>
      </c>
      <c r="AS25" s="299" t="s">
        <v>1500</v>
      </c>
      <c r="AT25" s="299" t="s">
        <v>1500</v>
      </c>
      <c r="AU25" s="297">
        <f t="shared" si="17"/>
        <v>0</v>
      </c>
      <c r="AV25" s="297">
        <f t="shared" si="11"/>
        <v>0</v>
      </c>
      <c r="AW25" s="270" t="e">
        <f t="shared" si="22"/>
        <v>#REF!</v>
      </c>
      <c r="AX25" s="853"/>
      <c r="AY25" s="853"/>
      <c r="AZ25" s="853"/>
      <c r="BA25" s="855"/>
      <c r="BB25" s="853"/>
    </row>
    <row r="26" spans="1:54" s="268" customFormat="1" ht="409.5" x14ac:dyDescent="0.2">
      <c r="A26" s="289">
        <v>12</v>
      </c>
      <c r="B26" s="303" t="s">
        <v>1445</v>
      </c>
      <c r="C26" s="318"/>
      <c r="D26" s="315" t="s">
        <v>1446</v>
      </c>
      <c r="E26" s="317" t="s">
        <v>1626</v>
      </c>
      <c r="F26" s="269" t="s">
        <v>404</v>
      </c>
      <c r="G26" s="269">
        <v>0</v>
      </c>
      <c r="H26" s="269" t="s">
        <v>1483</v>
      </c>
      <c r="I26" s="304" t="s">
        <v>1484</v>
      </c>
      <c r="J26" s="307" t="s">
        <v>1615</v>
      </c>
      <c r="K26" s="302" t="s">
        <v>1616</v>
      </c>
      <c r="L26" s="302" t="s">
        <v>1617</v>
      </c>
      <c r="M26" s="307" t="s">
        <v>1618</v>
      </c>
      <c r="N26" s="301" t="s">
        <v>1619</v>
      </c>
      <c r="O26" s="301" t="s">
        <v>1620</v>
      </c>
      <c r="P26" s="304" t="s">
        <v>1307</v>
      </c>
      <c r="Q26" s="304" t="s">
        <v>342</v>
      </c>
      <c r="R26" s="270" t="s">
        <v>4</v>
      </c>
      <c r="S26" s="304" t="s">
        <v>1490</v>
      </c>
      <c r="T26" s="302" t="s">
        <v>1629</v>
      </c>
      <c r="U26" s="303">
        <v>3</v>
      </c>
      <c r="V26" s="304" t="s">
        <v>187</v>
      </c>
      <c r="W26" s="294" t="s">
        <v>1492</v>
      </c>
      <c r="X26" s="294" t="s">
        <v>1493</v>
      </c>
      <c r="Y26" s="294" t="s">
        <v>1494</v>
      </c>
      <c r="Z26" s="294" t="s">
        <v>1495</v>
      </c>
      <c r="AA26" s="294" t="s">
        <v>1496</v>
      </c>
      <c r="AB26" s="294" t="s">
        <v>1497</v>
      </c>
      <c r="AC26" s="294" t="s">
        <v>1498</v>
      </c>
      <c r="AD26" s="295">
        <f>IF(W26="Asignado",15,IF(W26="No asignado",0,"Seleccione"))</f>
        <v>15</v>
      </c>
      <c r="AE26" s="295">
        <f>IF(X26="Adecuado",15,IF(X26="Inadecuado",0,"Seleccione"))</f>
        <v>15</v>
      </c>
      <c r="AF26" s="295">
        <f>IF(Y26="Oportuna",15,IF(Y26="Inoportuna",0,"Seleccione"))</f>
        <v>15</v>
      </c>
      <c r="AG26" s="295">
        <f>IF(Z26="Prevenir",15,IF(Z26="Detectar",10,IF(Z26="No es un Control",0,"Seleccione")))</f>
        <v>15</v>
      </c>
      <c r="AH26" s="295">
        <f>IF(AA26="Confiable",15,IF(AA26="No confiable",0,"Seleccione"))</f>
        <v>15</v>
      </c>
      <c r="AI26" s="295">
        <f>IF(AB26="Se investigan y resuelven oportunamente",15,IF(AB26="No se investigan y resuelven oportunamente",0,"Seleccione"))</f>
        <v>15</v>
      </c>
      <c r="AJ26" s="295">
        <f>IF(AC26="Completa",10,IF(AC26="Incompleta",5,IF(AC26="No existe",0,"Seleccione")))</f>
        <v>10</v>
      </c>
      <c r="AK26" s="295">
        <f>IF(COUNTBLANK(W26:AC26)&gt;0,"Complete las respuestas",SUM(AD26:AJ26))</f>
        <v>100</v>
      </c>
      <c r="AL26" s="295" t="str">
        <f>IF(AK26&lt;86,"Débil",IF(AND(AK26&gt;85,AK26&lt;96),"Moderado",IF(AND(AK26&gt;95,AK26&lt;101),"Fuerte","Verifique respuestas")))</f>
        <v>Fuerte</v>
      </c>
      <c r="AM26" s="294" t="s">
        <v>1499</v>
      </c>
      <c r="AN26" s="295" t="str">
        <f>IF(AND(AL26="Fuerte",AM26="Fuerte"),"Fuerte",IF(OR(AND(AL26="Fuerte",AM26="Moderado"),AND(AL26="Moderado",AM26="Fuerte"),AND(AL26="Moderado",AM26="Moderado")),"Moderado",IF(OR(AND(AL26="Fuerte",AM26="Débil"),AND(AL26="Moderado",AM26="Débil"),AND(AL26="Débil",AM26="Fuerte"),AND(AL26="Débil",AM26="Moderado"),AND(AL26="Débil",AM26="Débil")),"Débil","Verifique respuestas")))</f>
        <v>Fuerte</v>
      </c>
      <c r="AO26" s="295">
        <f>IF(AN26="Fuerte",100,IF(AN26="Moderado",50,IF(AN26="débil",0,"Verifique respuestas")))</f>
        <v>100</v>
      </c>
      <c r="AP26" s="295" t="str">
        <f>IF(AN26="Verifique respuestas","",IF(AN26="Fuerte","No","Si"))</f>
        <v>No</v>
      </c>
      <c r="AQ26" s="296">
        <f t="shared" si="27"/>
        <v>100</v>
      </c>
      <c r="AR26" s="296" t="str">
        <f>IF(AQ26="","",IF(AQ26=100,"Fuerte",IF(AND(AQ26&gt;49,AQ26&lt;100),"Moderado",IF(AND(AQ26&gt;=0,AQ26&lt;50),"Débil","Verifique"))))</f>
        <v>Fuerte</v>
      </c>
      <c r="AS26" s="299" t="s">
        <v>1500</v>
      </c>
      <c r="AT26" s="299" t="s">
        <v>1500</v>
      </c>
      <c r="AU26" s="297">
        <f>IF(OR(AR26="",AS26=""),"Verifique",IF(AND(AR26="Fuerte",AS26="Directamente"),2,IF(AND(AR26="Moderado",AS26="Directamente"),1,IF(AND(OR(AR26="Fuerte",AR26="Moderado"),AS26="No disminuye"),0,0))))</f>
        <v>2</v>
      </c>
      <c r="AV26" s="297">
        <f>IF(OR(AR26="",AT26=""),"Verifique",IF(OR(AND(AR26="Moderado",AT26="Indirectamente"),AT26="No disminuye",I26="Corrupción"),0,IF(OR(AND(AR26="Fuerte",AT26="Indirectamente"),AND(AR26="Moderado",AT26="Directamente")),1,IF(AND(AR26="Fuerte",AT26="Directamente"),2,0))))</f>
        <v>0</v>
      </c>
      <c r="AW26" s="270" t="s">
        <v>4</v>
      </c>
      <c r="AX26" s="853"/>
      <c r="AY26" s="853"/>
      <c r="AZ26" s="853"/>
      <c r="BA26" s="855"/>
      <c r="BB26" s="853"/>
    </row>
    <row r="27" spans="1:54" s="268" customFormat="1" ht="409.5" x14ac:dyDescent="0.2">
      <c r="A27" s="289">
        <v>12</v>
      </c>
      <c r="B27" s="303" t="s">
        <v>1445</v>
      </c>
      <c r="C27" s="318"/>
      <c r="D27" s="315" t="s">
        <v>1446</v>
      </c>
      <c r="E27" s="317" t="s">
        <v>1626</v>
      </c>
      <c r="F27" s="269" t="s">
        <v>404</v>
      </c>
      <c r="G27" s="269">
        <v>0</v>
      </c>
      <c r="H27" s="269" t="s">
        <v>1516</v>
      </c>
      <c r="I27" s="304" t="s">
        <v>1484</v>
      </c>
      <c r="J27" s="307" t="s">
        <v>1615</v>
      </c>
      <c r="K27" s="302" t="s">
        <v>1616</v>
      </c>
      <c r="L27" s="302" t="s">
        <v>1617</v>
      </c>
      <c r="M27" s="307" t="s">
        <v>1618</v>
      </c>
      <c r="N27" s="301" t="s">
        <v>1619</v>
      </c>
      <c r="O27" s="301" t="s">
        <v>1620</v>
      </c>
      <c r="P27" s="304" t="s">
        <v>1307</v>
      </c>
      <c r="Q27" s="304" t="s">
        <v>342</v>
      </c>
      <c r="R27" s="270" t="s">
        <v>4</v>
      </c>
      <c r="S27" s="304" t="s">
        <v>1490</v>
      </c>
      <c r="T27" s="302" t="s">
        <v>1630</v>
      </c>
      <c r="U27" s="303">
        <v>4</v>
      </c>
      <c r="V27" s="304" t="s">
        <v>187</v>
      </c>
      <c r="W27" s="294" t="s">
        <v>1492</v>
      </c>
      <c r="X27" s="294" t="s">
        <v>1493</v>
      </c>
      <c r="Y27" s="294" t="s">
        <v>1494</v>
      </c>
      <c r="Z27" s="294" t="s">
        <v>1495</v>
      </c>
      <c r="AA27" s="294" t="s">
        <v>1496</v>
      </c>
      <c r="AB27" s="294" t="s">
        <v>1497</v>
      </c>
      <c r="AC27" s="294" t="s">
        <v>1498</v>
      </c>
      <c r="AD27" s="295">
        <f>IF(W27="Asignado",15,IF(W27="No asignado",0,"Seleccione"))</f>
        <v>15</v>
      </c>
      <c r="AE27" s="295">
        <f>IF(X27="Adecuado",15,IF(X27="Inadecuado",0,"Seleccione"))</f>
        <v>15</v>
      </c>
      <c r="AF27" s="295">
        <f>IF(Y27="Oportuna",15,IF(Y27="Inoportuna",0,"Seleccione"))</f>
        <v>15</v>
      </c>
      <c r="AG27" s="295">
        <f>IF(Z27="Prevenir",15,IF(Z27="Detectar",10,IF(Z27="No es un Control",0,"Seleccione")))</f>
        <v>15</v>
      </c>
      <c r="AH27" s="295">
        <f>IF(AA27="Confiable",15,IF(AA27="No confiable",0,"Seleccione"))</f>
        <v>15</v>
      </c>
      <c r="AI27" s="295">
        <f>IF(AB27="Se investigan y resuelven oportunamente",15,IF(AB27="No se investigan y resuelven oportunamente",0,"Seleccione"))</f>
        <v>15</v>
      </c>
      <c r="AJ27" s="295">
        <f>IF(AC27="Completa",10,IF(AC27="Incompleta",5,IF(AC27="No existe",0,"Seleccione")))</f>
        <v>10</v>
      </c>
      <c r="AK27" s="295">
        <f>IF(COUNTBLANK(W27:AC27)&gt;0,"Complete las respuestas",SUM(AD27:AJ27))</f>
        <v>100</v>
      </c>
      <c r="AL27" s="295" t="str">
        <f>IF(AK27&lt;86,"Débil",IF(AND(AK27&gt;85,AK27&lt;96),"Moderado",IF(AND(AK27&gt;95,AK27&lt;101),"Fuerte","Verifique respuestas")))</f>
        <v>Fuerte</v>
      </c>
      <c r="AM27" s="294" t="s">
        <v>1499</v>
      </c>
      <c r="AN27" s="295" t="str">
        <f>IF(AND(AL27="Fuerte",AM27="Fuerte"),"Fuerte",IF(OR(AND(AL27="Fuerte",AM27="Moderado"),AND(AL27="Moderado",AM27="Fuerte"),AND(AL27="Moderado",AM27="Moderado")),"Moderado",IF(OR(AND(AL27="Fuerte",AM27="Débil"),AND(AL27="Moderado",AM27="Débil"),AND(AL27="Débil",AM27="Fuerte"),AND(AL27="Débil",AM27="Moderado"),AND(AL27="Débil",AM27="Débil")),"Débil","Verifique respuestas")))</f>
        <v>Fuerte</v>
      </c>
      <c r="AO27" s="295">
        <f>IF(AN27="Fuerte",100,IF(AN27="Moderado",50,IF(AN27="débil",0,"Verifique respuestas")))</f>
        <v>100</v>
      </c>
      <c r="AP27" s="295" t="str">
        <f>IF(AN27="Verifique respuestas","",IF(AN27="Fuerte","No","Si"))</f>
        <v>No</v>
      </c>
      <c r="AQ27" s="296">
        <f t="shared" si="27"/>
        <v>100</v>
      </c>
      <c r="AR27" s="296" t="str">
        <f>IF(AQ27="","",IF(AQ27=100,"Fuerte",IF(AND(AQ27&gt;49,AQ27&lt;100),"Moderado",IF(AND(AQ27&gt;=0,AQ27&lt;50),"Débil","Verifique"))))</f>
        <v>Fuerte</v>
      </c>
      <c r="AS27" s="299" t="s">
        <v>1500</v>
      </c>
      <c r="AT27" s="299" t="s">
        <v>1500</v>
      </c>
      <c r="AU27" s="297">
        <f>IF(OR(AR27="",AS27=""),"Verifique",IF(AND(AR27="Fuerte",AS27="Directamente"),2,IF(AND(AR27="Moderado",AS27="Directamente"),1,IF(AND(OR(AR27="Fuerte",AR27="Moderado"),AS27="No disminuye"),0,0))))</f>
        <v>2</v>
      </c>
      <c r="AV27" s="297">
        <f>IF(OR(AR27="",AT27=""),"Verifique",IF(OR(AND(AR27="Moderado",AT27="Indirectamente"),AT27="No disminuye",I27="Corrupción"),0,IF(OR(AND(AR27="Fuerte",AT27="Indirectamente"),AND(AR27="Moderado",AT27="Directamente")),1,IF(AND(AR27="Fuerte",AT27="Directamente"),2,0))))</f>
        <v>0</v>
      </c>
      <c r="AW27" s="270" t="s">
        <v>4</v>
      </c>
      <c r="AX27" s="856"/>
      <c r="AY27" s="856"/>
      <c r="AZ27" s="856"/>
      <c r="BA27" s="857"/>
      <c r="BB27" s="856"/>
    </row>
    <row r="28" spans="1:54" s="268" customFormat="1" ht="409.5" x14ac:dyDescent="0.2">
      <c r="A28" s="289">
        <v>13</v>
      </c>
      <c r="B28" s="289" t="s">
        <v>1447</v>
      </c>
      <c r="D28" s="270" t="s">
        <v>1448</v>
      </c>
      <c r="E28" s="319" t="s">
        <v>1631</v>
      </c>
      <c r="F28" s="269" t="s">
        <v>404</v>
      </c>
      <c r="G28" s="269">
        <v>0</v>
      </c>
      <c r="H28" s="269" t="s">
        <v>1516</v>
      </c>
      <c r="I28" s="299" t="s">
        <v>1484</v>
      </c>
      <c r="J28" s="307" t="s">
        <v>1632</v>
      </c>
      <c r="K28" s="270" t="s">
        <v>1633</v>
      </c>
      <c r="L28" s="270" t="s">
        <v>1634</v>
      </c>
      <c r="M28" s="307" t="s">
        <v>1635</v>
      </c>
      <c r="N28" s="301" t="s">
        <v>1636</v>
      </c>
      <c r="O28" s="270" t="s">
        <v>1637</v>
      </c>
      <c r="P28" s="311" t="s">
        <v>1307</v>
      </c>
      <c r="Q28" s="311" t="s">
        <v>342</v>
      </c>
      <c r="R28" s="270" t="e">
        <f t="shared" ref="R28:R38" si="28">IF(OR(P28="",Q28=""),"",VLOOKUP(VALUE(CONCATENATE(VLOOKUP(Q28,TImpacto,2,FALSE),VLOOKUP(P28,TProbabilidad,2,FALSE))),TMapaCalor,2,FALSE))</f>
        <v>#REF!</v>
      </c>
      <c r="S28" s="299" t="s">
        <v>1490</v>
      </c>
      <c r="T28" s="598" t="s">
        <v>1638</v>
      </c>
      <c r="U28" s="303">
        <v>1</v>
      </c>
      <c r="V28" s="304" t="s">
        <v>187</v>
      </c>
      <c r="W28" s="294" t="s">
        <v>1492</v>
      </c>
      <c r="X28" s="294" t="s">
        <v>1493</v>
      </c>
      <c r="Y28" s="294" t="s">
        <v>1494</v>
      </c>
      <c r="Z28" s="294" t="s">
        <v>1495</v>
      </c>
      <c r="AA28" s="294" t="s">
        <v>1496</v>
      </c>
      <c r="AB28" s="294" t="s">
        <v>1497</v>
      </c>
      <c r="AC28" s="294" t="s">
        <v>1498</v>
      </c>
      <c r="AD28" s="295">
        <f t="shared" si="1"/>
        <v>15</v>
      </c>
      <c r="AE28" s="295">
        <f t="shared" si="2"/>
        <v>15</v>
      </c>
      <c r="AF28" s="295">
        <f t="shared" si="3"/>
        <v>15</v>
      </c>
      <c r="AG28" s="295">
        <f t="shared" si="4"/>
        <v>15</v>
      </c>
      <c r="AH28" s="295">
        <f t="shared" si="5"/>
        <v>15</v>
      </c>
      <c r="AI28" s="295">
        <f t="shared" si="6"/>
        <v>15</v>
      </c>
      <c r="AJ28" s="295">
        <f t="shared" si="7"/>
        <v>10</v>
      </c>
      <c r="AK28" s="295">
        <f t="shared" si="8"/>
        <v>100</v>
      </c>
      <c r="AL28" s="295" t="str">
        <f t="shared" si="13"/>
        <v>Fuerte</v>
      </c>
      <c r="AM28" s="294" t="s">
        <v>8</v>
      </c>
      <c r="AN28" s="295" t="str">
        <f t="shared" si="14"/>
        <v>Moderado</v>
      </c>
      <c r="AO28" s="295">
        <f t="shared" si="9"/>
        <v>50</v>
      </c>
      <c r="AP28" s="295" t="str">
        <f t="shared" si="15"/>
        <v>Si</v>
      </c>
      <c r="AQ28" s="296">
        <f t="shared" si="27"/>
        <v>50</v>
      </c>
      <c r="AR28" s="296" t="str">
        <f t="shared" si="16"/>
        <v>Moderado</v>
      </c>
      <c r="AS28" s="299" t="s">
        <v>1500</v>
      </c>
      <c r="AT28" s="299" t="s">
        <v>1500</v>
      </c>
      <c r="AU28" s="297">
        <f t="shared" si="17"/>
        <v>1</v>
      </c>
      <c r="AV28" s="297">
        <f t="shared" si="11"/>
        <v>0</v>
      </c>
      <c r="AW28" s="270" t="e">
        <f t="shared" ref="AW28:AW38" si="29">IF(OR(P28="",Q28="",AU28="Verifique",AV28="Verifique"),"",VLOOKUP(VALUE(CONCATENATE(IF((VLOOKUP(Q28,TImpacto,2,FALSE)-AV28)&lt;1,1,(VLOOKUP(Q28,TImpacto,2,FALSE)-AV28)),IF((VLOOKUP(P28,TProbabilidad,2,FALSE)-AU28)&lt;1,1,(VLOOKUP(P28,TProbabilidad,2,FALSE)-AU28)))),TMapaCalor,2,FALSE))</f>
        <v>#REF!</v>
      </c>
      <c r="AX28" s="852" t="s">
        <v>1639</v>
      </c>
      <c r="AY28" s="852" t="s">
        <v>1640</v>
      </c>
      <c r="AZ28" s="852" t="s">
        <v>1641</v>
      </c>
      <c r="BA28" s="854">
        <v>45884</v>
      </c>
      <c r="BB28" s="852" t="s">
        <v>1625</v>
      </c>
    </row>
    <row r="29" spans="1:54" s="268" customFormat="1" ht="409.5" x14ac:dyDescent="0.2">
      <c r="A29" s="289">
        <v>13</v>
      </c>
      <c r="B29" s="289" t="s">
        <v>1447</v>
      </c>
      <c r="D29" s="270" t="s">
        <v>1448</v>
      </c>
      <c r="E29" s="319" t="s">
        <v>1631</v>
      </c>
      <c r="F29" s="269" t="s">
        <v>404</v>
      </c>
      <c r="G29" s="269">
        <v>0</v>
      </c>
      <c r="H29" s="269" t="s">
        <v>1516</v>
      </c>
      <c r="I29" s="299" t="s">
        <v>1484</v>
      </c>
      <c r="J29" s="307" t="s">
        <v>1632</v>
      </c>
      <c r="K29" s="270" t="s">
        <v>1633</v>
      </c>
      <c r="L29" s="270" t="s">
        <v>1634</v>
      </c>
      <c r="M29" s="307" t="s">
        <v>1635</v>
      </c>
      <c r="N29" s="301" t="s">
        <v>1636</v>
      </c>
      <c r="O29" s="270" t="s">
        <v>1637</v>
      </c>
      <c r="P29" s="299" t="s">
        <v>1307</v>
      </c>
      <c r="Q29" s="299" t="s">
        <v>342</v>
      </c>
      <c r="R29" s="270" t="e">
        <f t="shared" ref="R29" si="30">IF(OR(P29="",Q29=""),"",VLOOKUP(VALUE(CONCATENATE(VLOOKUP(Q29,TImpacto,2,FALSE),VLOOKUP(P29,TProbabilidad,2,FALSE))),TMapaCalor,2,FALSE))</f>
        <v>#REF!</v>
      </c>
      <c r="S29" s="299" t="s">
        <v>1490</v>
      </c>
      <c r="T29" s="623" t="s">
        <v>1642</v>
      </c>
      <c r="U29" s="303">
        <v>2</v>
      </c>
      <c r="V29" s="304" t="s">
        <v>228</v>
      </c>
      <c r="W29" s="294" t="s">
        <v>1492</v>
      </c>
      <c r="X29" s="294" t="s">
        <v>1493</v>
      </c>
      <c r="Y29" s="294" t="s">
        <v>1494</v>
      </c>
      <c r="Z29" s="294" t="s">
        <v>1548</v>
      </c>
      <c r="AA29" s="294" t="s">
        <v>1496</v>
      </c>
      <c r="AB29" s="294" t="s">
        <v>1497</v>
      </c>
      <c r="AC29" s="294" t="s">
        <v>1498</v>
      </c>
      <c r="AD29" s="295">
        <f t="shared" si="1"/>
        <v>15</v>
      </c>
      <c r="AE29" s="295">
        <f t="shared" si="2"/>
        <v>15</v>
      </c>
      <c r="AF29" s="295">
        <f t="shared" si="3"/>
        <v>15</v>
      </c>
      <c r="AG29" s="295">
        <f t="shared" si="4"/>
        <v>10</v>
      </c>
      <c r="AH29" s="295">
        <f t="shared" si="5"/>
        <v>15</v>
      </c>
      <c r="AI29" s="295">
        <f t="shared" si="6"/>
        <v>15</v>
      </c>
      <c r="AJ29" s="295">
        <f t="shared" si="7"/>
        <v>10</v>
      </c>
      <c r="AK29" s="295">
        <f t="shared" si="8"/>
        <v>95</v>
      </c>
      <c r="AL29" s="295" t="str">
        <f t="shared" si="13"/>
        <v>Moderado</v>
      </c>
      <c r="AM29" s="294" t="s">
        <v>1499</v>
      </c>
      <c r="AN29" s="295" t="str">
        <f t="shared" si="14"/>
        <v>Moderado</v>
      </c>
      <c r="AO29" s="295">
        <f t="shared" si="9"/>
        <v>50</v>
      </c>
      <c r="AP29" s="295" t="str">
        <f t="shared" si="15"/>
        <v>Si</v>
      </c>
      <c r="AQ29" s="296">
        <f t="shared" si="27"/>
        <v>50</v>
      </c>
      <c r="AR29" s="296" t="str">
        <f t="shared" si="16"/>
        <v>Moderado</v>
      </c>
      <c r="AS29" s="299" t="s">
        <v>1500</v>
      </c>
      <c r="AT29" s="299" t="s">
        <v>1500</v>
      </c>
      <c r="AU29" s="297">
        <f t="shared" si="17"/>
        <v>1</v>
      </c>
      <c r="AV29" s="297">
        <f t="shared" si="11"/>
        <v>0</v>
      </c>
      <c r="AW29" s="270" t="e">
        <f t="shared" ref="AW29" si="31">IF(OR(P29="",Q29="",AU29="Verifique",AV29="Verifique"),"",VLOOKUP(VALUE(CONCATENATE(IF((VLOOKUP(Q29,TImpacto,2,FALSE)-AV29)&lt;1,1,(VLOOKUP(Q29,TImpacto,2,FALSE)-AV29)),IF((VLOOKUP(P29,TProbabilidad,2,FALSE)-AU29)&lt;1,1,(VLOOKUP(P29,TProbabilidad,2,FALSE)-AU29)))),TMapaCalor,2,FALSE))</f>
        <v>#REF!</v>
      </c>
      <c r="AX29" s="853"/>
      <c r="AY29" s="853"/>
      <c r="AZ29" s="853"/>
      <c r="BA29" s="855"/>
      <c r="BB29" s="853"/>
    </row>
    <row r="30" spans="1:54" s="268" customFormat="1" ht="409.5" x14ac:dyDescent="0.2">
      <c r="A30" s="289">
        <v>13</v>
      </c>
      <c r="B30" s="289" t="s">
        <v>1447</v>
      </c>
      <c r="D30" s="270" t="s">
        <v>1448</v>
      </c>
      <c r="E30" s="319" t="s">
        <v>1631</v>
      </c>
      <c r="F30" s="269" t="s">
        <v>404</v>
      </c>
      <c r="G30" s="269">
        <v>0</v>
      </c>
      <c r="H30" s="269" t="s">
        <v>1516</v>
      </c>
      <c r="I30" s="299" t="s">
        <v>1484</v>
      </c>
      <c r="J30" s="307" t="s">
        <v>1632</v>
      </c>
      <c r="K30" s="270" t="s">
        <v>1633</v>
      </c>
      <c r="L30" s="270" t="s">
        <v>1634</v>
      </c>
      <c r="M30" s="307" t="s">
        <v>1635</v>
      </c>
      <c r="N30" s="301" t="s">
        <v>1636</v>
      </c>
      <c r="O30" s="270" t="s">
        <v>1637</v>
      </c>
      <c r="P30" s="299" t="s">
        <v>1307</v>
      </c>
      <c r="Q30" s="299" t="s">
        <v>342</v>
      </c>
      <c r="R30" s="270" t="e">
        <f t="shared" ref="R30" si="32">IF(OR(P30="",Q30=""),"",VLOOKUP(VALUE(CONCATENATE(VLOOKUP(Q30,TImpacto,2,FALSE),VLOOKUP(P30,TProbabilidad,2,FALSE))),TMapaCalor,2,FALSE))</f>
        <v>#REF!</v>
      </c>
      <c r="S30" s="299" t="s">
        <v>1490</v>
      </c>
      <c r="T30" s="622" t="s">
        <v>1643</v>
      </c>
      <c r="U30" s="303">
        <v>3</v>
      </c>
      <c r="V30" s="304" t="s">
        <v>228</v>
      </c>
      <c r="W30" s="294" t="s">
        <v>1492</v>
      </c>
      <c r="X30" s="294" t="s">
        <v>1493</v>
      </c>
      <c r="Y30" s="294" t="s">
        <v>1494</v>
      </c>
      <c r="Z30" s="294" t="s">
        <v>1548</v>
      </c>
      <c r="AA30" s="294" t="s">
        <v>1496</v>
      </c>
      <c r="AB30" s="294" t="s">
        <v>1497</v>
      </c>
      <c r="AC30" s="294" t="s">
        <v>1498</v>
      </c>
      <c r="AD30" s="295">
        <f t="shared" si="1"/>
        <v>15</v>
      </c>
      <c r="AE30" s="295">
        <f t="shared" si="2"/>
        <v>15</v>
      </c>
      <c r="AF30" s="295">
        <f t="shared" si="3"/>
        <v>15</v>
      </c>
      <c r="AG30" s="295">
        <f t="shared" si="4"/>
        <v>10</v>
      </c>
      <c r="AH30" s="295">
        <f t="shared" si="5"/>
        <v>15</v>
      </c>
      <c r="AI30" s="295">
        <f t="shared" si="6"/>
        <v>15</v>
      </c>
      <c r="AJ30" s="295">
        <f t="shared" si="7"/>
        <v>10</v>
      </c>
      <c r="AK30" s="295">
        <f t="shared" si="8"/>
        <v>95</v>
      </c>
      <c r="AL30" s="295" t="str">
        <f t="shared" si="13"/>
        <v>Moderado</v>
      </c>
      <c r="AM30" s="294" t="s">
        <v>1499</v>
      </c>
      <c r="AN30" s="295" t="str">
        <f t="shared" si="14"/>
        <v>Moderado</v>
      </c>
      <c r="AO30" s="295">
        <f t="shared" si="9"/>
        <v>50</v>
      </c>
      <c r="AP30" s="295" t="str">
        <f t="shared" si="15"/>
        <v>Si</v>
      </c>
      <c r="AQ30" s="296">
        <f t="shared" si="27"/>
        <v>50</v>
      </c>
      <c r="AR30" s="296" t="str">
        <f t="shared" si="16"/>
        <v>Moderado</v>
      </c>
      <c r="AS30" s="299" t="s">
        <v>1500</v>
      </c>
      <c r="AT30" s="299" t="s">
        <v>1500</v>
      </c>
      <c r="AU30" s="297">
        <f t="shared" si="17"/>
        <v>1</v>
      </c>
      <c r="AV30" s="297">
        <f t="shared" si="11"/>
        <v>0</v>
      </c>
      <c r="AW30" s="270" t="e">
        <f t="shared" ref="AW30" si="33">IF(OR(P30="",Q30="",AU30="Verifique",AV30="Verifique"),"",VLOOKUP(VALUE(CONCATENATE(IF((VLOOKUP(Q30,TImpacto,2,FALSE)-AV30)&lt;1,1,(VLOOKUP(Q30,TImpacto,2,FALSE)-AV30)),IF((VLOOKUP(P30,TProbabilidad,2,FALSE)-AU30)&lt;1,1,(VLOOKUP(P30,TProbabilidad,2,FALSE)-AU30)))),TMapaCalor,2,FALSE))</f>
        <v>#REF!</v>
      </c>
      <c r="AX30" s="856"/>
      <c r="AY30" s="856"/>
      <c r="AZ30" s="856"/>
      <c r="BA30" s="857"/>
      <c r="BB30" s="856"/>
    </row>
    <row r="31" spans="1:54" s="268" customFormat="1" ht="409.5" x14ac:dyDescent="0.2">
      <c r="A31" s="289">
        <v>14</v>
      </c>
      <c r="B31" s="289" t="s">
        <v>1449</v>
      </c>
      <c r="C31" s="303"/>
      <c r="D31" s="315" t="s">
        <v>1450</v>
      </c>
      <c r="E31" s="317" t="s">
        <v>1644</v>
      </c>
      <c r="F31" s="269" t="s">
        <v>404</v>
      </c>
      <c r="G31" s="269">
        <v>0</v>
      </c>
      <c r="H31" s="269" t="s">
        <v>1535</v>
      </c>
      <c r="I31" s="304" t="s">
        <v>1484</v>
      </c>
      <c r="J31" s="307" t="s">
        <v>1645</v>
      </c>
      <c r="K31" s="303" t="s">
        <v>1646</v>
      </c>
      <c r="L31" s="303" t="s">
        <v>1647</v>
      </c>
      <c r="M31" s="307" t="s">
        <v>1648</v>
      </c>
      <c r="N31" s="301" t="s">
        <v>1649</v>
      </c>
      <c r="O31" s="301" t="s">
        <v>1650</v>
      </c>
      <c r="P31" s="304" t="s">
        <v>1307</v>
      </c>
      <c r="Q31" s="304" t="s">
        <v>342</v>
      </c>
      <c r="R31" s="289" t="e">
        <f t="shared" si="28"/>
        <v>#REF!</v>
      </c>
      <c r="S31" s="304" t="s">
        <v>1490</v>
      </c>
      <c r="T31" s="314" t="s">
        <v>1651</v>
      </c>
      <c r="U31" s="303">
        <v>1</v>
      </c>
      <c r="V31" s="304" t="s">
        <v>187</v>
      </c>
      <c r="W31" s="294" t="s">
        <v>1492</v>
      </c>
      <c r="X31" s="294" t="s">
        <v>1493</v>
      </c>
      <c r="Y31" s="294" t="s">
        <v>1494</v>
      </c>
      <c r="Z31" s="294" t="s">
        <v>1495</v>
      </c>
      <c r="AA31" s="294" t="s">
        <v>1496</v>
      </c>
      <c r="AB31" s="294" t="s">
        <v>1497</v>
      </c>
      <c r="AC31" s="294" t="s">
        <v>1498</v>
      </c>
      <c r="AD31" s="295">
        <f t="shared" si="1"/>
        <v>15</v>
      </c>
      <c r="AE31" s="295">
        <f t="shared" si="2"/>
        <v>15</v>
      </c>
      <c r="AF31" s="295">
        <f t="shared" si="3"/>
        <v>15</v>
      </c>
      <c r="AG31" s="295">
        <f t="shared" si="4"/>
        <v>15</v>
      </c>
      <c r="AH31" s="295">
        <f t="shared" si="5"/>
        <v>15</v>
      </c>
      <c r="AI31" s="295">
        <f t="shared" si="6"/>
        <v>15</v>
      </c>
      <c r="AJ31" s="295">
        <f t="shared" si="7"/>
        <v>10</v>
      </c>
      <c r="AK31" s="295">
        <f t="shared" si="8"/>
        <v>100</v>
      </c>
      <c r="AL31" s="295" t="str">
        <f t="shared" si="13"/>
        <v>Fuerte</v>
      </c>
      <c r="AM31" s="294" t="s">
        <v>8</v>
      </c>
      <c r="AN31" s="295" t="str">
        <f t="shared" si="14"/>
        <v>Moderado</v>
      </c>
      <c r="AO31" s="295">
        <f t="shared" si="9"/>
        <v>50</v>
      </c>
      <c r="AP31" s="295" t="str">
        <f t="shared" si="15"/>
        <v>Si</v>
      </c>
      <c r="AQ31" s="295">
        <f>IF(AO31="Verifique respuestas","",AVERAGE(AO31))</f>
        <v>50</v>
      </c>
      <c r="AR31" s="295" t="str">
        <f t="shared" si="16"/>
        <v>Moderado</v>
      </c>
      <c r="AS31" s="304" t="s">
        <v>1500</v>
      </c>
      <c r="AT31" s="304" t="s">
        <v>1652</v>
      </c>
      <c r="AU31" s="308">
        <f t="shared" si="17"/>
        <v>1</v>
      </c>
      <c r="AV31" s="308">
        <f t="shared" si="11"/>
        <v>0</v>
      </c>
      <c r="AW31" s="289" t="e">
        <f t="shared" si="29"/>
        <v>#REF!</v>
      </c>
      <c r="AX31" s="303" t="s">
        <v>1653</v>
      </c>
      <c r="AY31" s="303" t="s">
        <v>1654</v>
      </c>
      <c r="AZ31" s="303" t="s">
        <v>1655</v>
      </c>
      <c r="BA31" s="306">
        <v>46001</v>
      </c>
      <c r="BB31" s="303" t="s">
        <v>1625</v>
      </c>
    </row>
    <row r="32" spans="1:54" s="268" customFormat="1" ht="213" customHeight="1" x14ac:dyDescent="0.2">
      <c r="A32" s="289">
        <v>14</v>
      </c>
      <c r="B32" s="289" t="s">
        <v>1449</v>
      </c>
      <c r="C32" s="270"/>
      <c r="D32" s="315" t="s">
        <v>1450</v>
      </c>
      <c r="E32" s="317" t="s">
        <v>1644</v>
      </c>
      <c r="F32" s="269" t="s">
        <v>404</v>
      </c>
      <c r="G32" s="269">
        <v>0</v>
      </c>
      <c r="H32" s="269" t="s">
        <v>1535</v>
      </c>
      <c r="I32" s="304" t="s">
        <v>1484</v>
      </c>
      <c r="J32" s="307" t="s">
        <v>1645</v>
      </c>
      <c r="K32" s="303" t="s">
        <v>1646</v>
      </c>
      <c r="L32" s="303" t="s">
        <v>1647</v>
      </c>
      <c r="M32" s="307" t="s">
        <v>1648</v>
      </c>
      <c r="N32" s="301" t="s">
        <v>1649</v>
      </c>
      <c r="O32" s="301" t="s">
        <v>1650</v>
      </c>
      <c r="P32" s="304" t="s">
        <v>1307</v>
      </c>
      <c r="Q32" s="304" t="s">
        <v>342</v>
      </c>
      <c r="R32" s="270" t="e">
        <f t="shared" si="28"/>
        <v>#REF!</v>
      </c>
      <c r="S32" s="304" t="s">
        <v>1490</v>
      </c>
      <c r="T32" s="611" t="s">
        <v>1656</v>
      </c>
      <c r="U32" s="303">
        <v>2</v>
      </c>
      <c r="V32" s="304" t="s">
        <v>228</v>
      </c>
      <c r="W32" s="294" t="s">
        <v>1492</v>
      </c>
      <c r="X32" s="294" t="s">
        <v>1493</v>
      </c>
      <c r="Y32" s="294" t="s">
        <v>1494</v>
      </c>
      <c r="Z32" s="294" t="s">
        <v>1548</v>
      </c>
      <c r="AA32" s="294" t="s">
        <v>1496</v>
      </c>
      <c r="AB32" s="294" t="s">
        <v>1497</v>
      </c>
      <c r="AC32" s="294" t="s">
        <v>1498</v>
      </c>
      <c r="AD32" s="295">
        <f t="shared" si="1"/>
        <v>15</v>
      </c>
      <c r="AE32" s="295">
        <f t="shared" si="2"/>
        <v>15</v>
      </c>
      <c r="AF32" s="295">
        <f t="shared" si="3"/>
        <v>15</v>
      </c>
      <c r="AG32" s="295">
        <f t="shared" si="4"/>
        <v>10</v>
      </c>
      <c r="AH32" s="295">
        <f t="shared" si="5"/>
        <v>15</v>
      </c>
      <c r="AI32" s="295">
        <f t="shared" si="6"/>
        <v>15</v>
      </c>
      <c r="AJ32" s="295">
        <f t="shared" si="7"/>
        <v>10</v>
      </c>
      <c r="AK32" s="295">
        <f t="shared" si="8"/>
        <v>95</v>
      </c>
      <c r="AL32" s="295" t="str">
        <f t="shared" si="13"/>
        <v>Moderado</v>
      </c>
      <c r="AM32" s="294" t="s">
        <v>8</v>
      </c>
      <c r="AN32" s="295" t="str">
        <f t="shared" si="14"/>
        <v>Moderado</v>
      </c>
      <c r="AO32" s="295">
        <f t="shared" si="9"/>
        <v>50</v>
      </c>
      <c r="AP32" s="295" t="str">
        <f t="shared" si="15"/>
        <v>Si</v>
      </c>
      <c r="AQ32" s="297">
        <f t="shared" ref="AQ32:AQ59" si="34">IF(AO32="Verifique respuestas","",AVERAGE(AO32:AO32))</f>
        <v>50</v>
      </c>
      <c r="AR32" s="296" t="str">
        <f t="shared" si="16"/>
        <v>Moderado</v>
      </c>
      <c r="AS32" s="304" t="s">
        <v>1500</v>
      </c>
      <c r="AT32" s="304" t="s">
        <v>1657</v>
      </c>
      <c r="AU32" s="297">
        <f t="shared" si="17"/>
        <v>1</v>
      </c>
      <c r="AV32" s="297">
        <f t="shared" si="11"/>
        <v>0</v>
      </c>
      <c r="AW32" s="270" t="e">
        <f t="shared" si="29"/>
        <v>#REF!</v>
      </c>
      <c r="AX32" s="270" t="s">
        <v>1658</v>
      </c>
      <c r="AY32" s="270" t="s">
        <v>1659</v>
      </c>
      <c r="AZ32" s="270" t="s">
        <v>1660</v>
      </c>
      <c r="BA32" s="306">
        <v>46001</v>
      </c>
      <c r="BB32" s="270" t="s">
        <v>1625</v>
      </c>
    </row>
    <row r="33" spans="1:54" s="268" customFormat="1" ht="281.25" customHeight="1" x14ac:dyDescent="0.2">
      <c r="A33" s="289">
        <v>15</v>
      </c>
      <c r="B33" s="289" t="s">
        <v>1451</v>
      </c>
      <c r="C33" s="270"/>
      <c r="D33" s="319" t="s">
        <v>1452</v>
      </c>
      <c r="E33" s="321" t="s">
        <v>1661</v>
      </c>
      <c r="F33" s="269" t="s">
        <v>404</v>
      </c>
      <c r="G33" s="269">
        <v>0</v>
      </c>
      <c r="H33" s="269" t="s">
        <v>1551</v>
      </c>
      <c r="I33" s="299" t="s">
        <v>1484</v>
      </c>
      <c r="J33" s="300" t="s">
        <v>1662</v>
      </c>
      <c r="K33" s="270" t="s">
        <v>1663</v>
      </c>
      <c r="L33" s="270" t="s">
        <v>1664</v>
      </c>
      <c r="M33" s="300" t="s">
        <v>1665</v>
      </c>
      <c r="N33" s="301" t="s">
        <v>1666</v>
      </c>
      <c r="O33" s="270" t="s">
        <v>1541</v>
      </c>
      <c r="P33" s="299" t="s">
        <v>1304</v>
      </c>
      <c r="Q33" s="299" t="s">
        <v>342</v>
      </c>
      <c r="R33" s="270" t="e">
        <f t="shared" si="28"/>
        <v>#REF!</v>
      </c>
      <c r="S33" s="299" t="s">
        <v>1490</v>
      </c>
      <c r="T33" s="611" t="s">
        <v>1667</v>
      </c>
      <c r="U33" s="303">
        <v>1</v>
      </c>
      <c r="V33" s="304" t="s">
        <v>187</v>
      </c>
      <c r="W33" s="294" t="s">
        <v>1492</v>
      </c>
      <c r="X33" s="294" t="s">
        <v>1493</v>
      </c>
      <c r="Y33" s="294" t="s">
        <v>1494</v>
      </c>
      <c r="Z33" s="294" t="s">
        <v>1495</v>
      </c>
      <c r="AA33" s="294" t="s">
        <v>1496</v>
      </c>
      <c r="AB33" s="294" t="s">
        <v>1497</v>
      </c>
      <c r="AC33" s="294" t="s">
        <v>1498</v>
      </c>
      <c r="AD33" s="295">
        <f t="shared" si="1"/>
        <v>15</v>
      </c>
      <c r="AE33" s="295">
        <f t="shared" si="2"/>
        <v>15</v>
      </c>
      <c r="AF33" s="295">
        <f t="shared" si="3"/>
        <v>15</v>
      </c>
      <c r="AG33" s="295">
        <f t="shared" si="4"/>
        <v>15</v>
      </c>
      <c r="AH33" s="295">
        <f t="shared" si="5"/>
        <v>15</v>
      </c>
      <c r="AI33" s="295">
        <f t="shared" si="6"/>
        <v>15</v>
      </c>
      <c r="AJ33" s="295">
        <f t="shared" si="7"/>
        <v>10</v>
      </c>
      <c r="AK33" s="295">
        <f t="shared" si="8"/>
        <v>100</v>
      </c>
      <c r="AL33" s="295" t="str">
        <f t="shared" si="13"/>
        <v>Fuerte</v>
      </c>
      <c r="AM33" s="294" t="s">
        <v>1499</v>
      </c>
      <c r="AN33" s="295" t="str">
        <f t="shared" si="14"/>
        <v>Fuerte</v>
      </c>
      <c r="AO33" s="295">
        <f t="shared" si="9"/>
        <v>100</v>
      </c>
      <c r="AP33" s="295" t="str">
        <f t="shared" si="15"/>
        <v>No</v>
      </c>
      <c r="AQ33" s="296">
        <f t="shared" si="34"/>
        <v>100</v>
      </c>
      <c r="AR33" s="296" t="str">
        <f t="shared" si="16"/>
        <v>Fuerte</v>
      </c>
      <c r="AS33" s="299" t="s">
        <v>1500</v>
      </c>
      <c r="AT33" s="299" t="s">
        <v>1500</v>
      </c>
      <c r="AU33" s="297">
        <f t="shared" si="17"/>
        <v>2</v>
      </c>
      <c r="AV33" s="297">
        <f t="shared" si="11"/>
        <v>0</v>
      </c>
      <c r="AW33" s="270" t="e">
        <f t="shared" si="29"/>
        <v>#REF!</v>
      </c>
      <c r="AX33" s="303" t="s">
        <v>1668</v>
      </c>
      <c r="AY33" s="303" t="s">
        <v>1669</v>
      </c>
      <c r="AZ33" s="303" t="s">
        <v>1670</v>
      </c>
      <c r="BA33" s="298">
        <v>46001</v>
      </c>
      <c r="BB33" s="302" t="s">
        <v>1625</v>
      </c>
    </row>
    <row r="34" spans="1:54" s="268" customFormat="1" ht="211.5" customHeight="1" x14ac:dyDescent="0.2">
      <c r="A34" s="542">
        <v>16</v>
      </c>
      <c r="B34" s="542" t="s">
        <v>1453</v>
      </c>
      <c r="C34" s="543"/>
      <c r="D34" s="544" t="s">
        <v>1454</v>
      </c>
      <c r="E34" s="545" t="s">
        <v>1671</v>
      </c>
      <c r="F34" s="546" t="s">
        <v>561</v>
      </c>
      <c r="G34" s="546">
        <v>0</v>
      </c>
      <c r="H34" s="546">
        <v>0</v>
      </c>
      <c r="I34" s="547" t="s">
        <v>1484</v>
      </c>
      <c r="J34" s="548" t="s">
        <v>1242</v>
      </c>
      <c r="K34" s="543" t="s">
        <v>1672</v>
      </c>
      <c r="L34" s="543" t="s">
        <v>1673</v>
      </c>
      <c r="M34" s="548" t="s">
        <v>1242</v>
      </c>
      <c r="N34" s="549" t="s">
        <v>1674</v>
      </c>
      <c r="O34" s="543" t="s">
        <v>1675</v>
      </c>
      <c r="P34" s="547" t="s">
        <v>1306</v>
      </c>
      <c r="Q34" s="547" t="s">
        <v>342</v>
      </c>
      <c r="R34" s="543" t="e">
        <f t="shared" si="28"/>
        <v>#REF!</v>
      </c>
      <c r="S34" s="547" t="s">
        <v>1490</v>
      </c>
      <c r="T34" s="601" t="s">
        <v>1676</v>
      </c>
      <c r="U34" s="551">
        <v>1</v>
      </c>
      <c r="V34" s="552" t="s">
        <v>187</v>
      </c>
      <c r="W34" s="553" t="s">
        <v>1492</v>
      </c>
      <c r="X34" s="553" t="s">
        <v>1493</v>
      </c>
      <c r="Y34" s="553" t="s">
        <v>1494</v>
      </c>
      <c r="Z34" s="553" t="s">
        <v>1495</v>
      </c>
      <c r="AA34" s="553" t="s">
        <v>1496</v>
      </c>
      <c r="AB34" s="553" t="s">
        <v>1497</v>
      </c>
      <c r="AC34" s="553" t="s">
        <v>1498</v>
      </c>
      <c r="AD34" s="554">
        <f t="shared" si="1"/>
        <v>15</v>
      </c>
      <c r="AE34" s="554">
        <f t="shared" si="2"/>
        <v>15</v>
      </c>
      <c r="AF34" s="554">
        <f t="shared" si="3"/>
        <v>15</v>
      </c>
      <c r="AG34" s="554">
        <f t="shared" si="4"/>
        <v>15</v>
      </c>
      <c r="AH34" s="554">
        <f t="shared" si="5"/>
        <v>15</v>
      </c>
      <c r="AI34" s="554">
        <f t="shared" si="6"/>
        <v>15</v>
      </c>
      <c r="AJ34" s="554">
        <f t="shared" si="7"/>
        <v>10</v>
      </c>
      <c r="AK34" s="554">
        <f t="shared" si="8"/>
        <v>100</v>
      </c>
      <c r="AL34" s="554" t="str">
        <f t="shared" si="13"/>
        <v>Fuerte</v>
      </c>
      <c r="AM34" s="553" t="s">
        <v>1499</v>
      </c>
      <c r="AN34" s="554" t="str">
        <f t="shared" si="14"/>
        <v>Fuerte</v>
      </c>
      <c r="AO34" s="554">
        <f t="shared" si="9"/>
        <v>100</v>
      </c>
      <c r="AP34" s="554" t="str">
        <f t="shared" si="15"/>
        <v>No</v>
      </c>
      <c r="AQ34" s="555">
        <f t="shared" si="34"/>
        <v>100</v>
      </c>
      <c r="AR34" s="555" t="str">
        <f t="shared" si="16"/>
        <v>Fuerte</v>
      </c>
      <c r="AS34" s="547" t="s">
        <v>1500</v>
      </c>
      <c r="AT34" s="547" t="s">
        <v>1500</v>
      </c>
      <c r="AU34" s="556">
        <f t="shared" si="17"/>
        <v>2</v>
      </c>
      <c r="AV34" s="556">
        <f t="shared" si="11"/>
        <v>0</v>
      </c>
      <c r="AW34" s="543" t="e">
        <f t="shared" si="29"/>
        <v>#REF!</v>
      </c>
      <c r="AX34" s="862" t="s">
        <v>1677</v>
      </c>
      <c r="AY34" s="864" t="s">
        <v>1678</v>
      </c>
      <c r="AZ34" s="862" t="s">
        <v>1679</v>
      </c>
      <c r="BA34" s="866">
        <v>46022</v>
      </c>
      <c r="BB34" s="862" t="s">
        <v>1680</v>
      </c>
    </row>
    <row r="35" spans="1:54" s="268" customFormat="1" ht="221.25" customHeight="1" x14ac:dyDescent="0.2">
      <c r="A35" s="542">
        <v>16</v>
      </c>
      <c r="B35" s="542" t="s">
        <v>1453</v>
      </c>
      <c r="C35" s="543"/>
      <c r="D35" s="544" t="s">
        <v>1454</v>
      </c>
      <c r="E35" s="545" t="s">
        <v>1671</v>
      </c>
      <c r="F35" s="546" t="s">
        <v>561</v>
      </c>
      <c r="G35" s="546">
        <v>0</v>
      </c>
      <c r="H35" s="546">
        <v>0</v>
      </c>
      <c r="I35" s="547" t="s">
        <v>1484</v>
      </c>
      <c r="J35" s="548" t="s">
        <v>1242</v>
      </c>
      <c r="K35" s="543" t="s">
        <v>1672</v>
      </c>
      <c r="L35" s="543" t="s">
        <v>1673</v>
      </c>
      <c r="M35" s="548" t="s">
        <v>1242</v>
      </c>
      <c r="N35" s="549" t="s">
        <v>1674</v>
      </c>
      <c r="O35" s="543" t="s">
        <v>1675</v>
      </c>
      <c r="P35" s="547" t="s">
        <v>1306</v>
      </c>
      <c r="Q35" s="547" t="s">
        <v>342</v>
      </c>
      <c r="R35" s="543" t="e">
        <f t="shared" si="28"/>
        <v>#REF!</v>
      </c>
      <c r="S35" s="547" t="s">
        <v>1490</v>
      </c>
      <c r="T35" s="550" t="s">
        <v>1681</v>
      </c>
      <c r="U35" s="551">
        <v>2</v>
      </c>
      <c r="V35" s="552" t="s">
        <v>228</v>
      </c>
      <c r="W35" s="553" t="s">
        <v>1492</v>
      </c>
      <c r="X35" s="553" t="s">
        <v>1493</v>
      </c>
      <c r="Y35" s="553" t="s">
        <v>1494</v>
      </c>
      <c r="Z35" s="553" t="s">
        <v>1548</v>
      </c>
      <c r="AA35" s="553" t="s">
        <v>1496</v>
      </c>
      <c r="AB35" s="553" t="s">
        <v>1497</v>
      </c>
      <c r="AC35" s="553" t="s">
        <v>1498</v>
      </c>
      <c r="AD35" s="554">
        <f t="shared" si="1"/>
        <v>15</v>
      </c>
      <c r="AE35" s="554">
        <f t="shared" si="2"/>
        <v>15</v>
      </c>
      <c r="AF35" s="554">
        <f t="shared" si="3"/>
        <v>15</v>
      </c>
      <c r="AG35" s="554">
        <f t="shared" si="4"/>
        <v>10</v>
      </c>
      <c r="AH35" s="554">
        <f t="shared" si="5"/>
        <v>15</v>
      </c>
      <c r="AI35" s="554">
        <f t="shared" si="6"/>
        <v>15</v>
      </c>
      <c r="AJ35" s="554">
        <f t="shared" si="7"/>
        <v>10</v>
      </c>
      <c r="AK35" s="554">
        <f t="shared" si="8"/>
        <v>95</v>
      </c>
      <c r="AL35" s="554" t="str">
        <f t="shared" si="13"/>
        <v>Moderado</v>
      </c>
      <c r="AM35" s="553" t="s">
        <v>1499</v>
      </c>
      <c r="AN35" s="554" t="str">
        <f t="shared" si="14"/>
        <v>Moderado</v>
      </c>
      <c r="AO35" s="554">
        <f t="shared" si="9"/>
        <v>50</v>
      </c>
      <c r="AP35" s="554" t="str">
        <f t="shared" si="15"/>
        <v>Si</v>
      </c>
      <c r="AQ35" s="555">
        <f t="shared" si="34"/>
        <v>50</v>
      </c>
      <c r="AR35" s="555" t="str">
        <f t="shared" si="16"/>
        <v>Moderado</v>
      </c>
      <c r="AS35" s="547" t="s">
        <v>1500</v>
      </c>
      <c r="AT35" s="547" t="s">
        <v>1500</v>
      </c>
      <c r="AU35" s="556">
        <f t="shared" si="17"/>
        <v>1</v>
      </c>
      <c r="AV35" s="556">
        <f t="shared" si="11"/>
        <v>0</v>
      </c>
      <c r="AW35" s="543" t="e">
        <f t="shared" si="29"/>
        <v>#REF!</v>
      </c>
      <c r="AX35" s="863"/>
      <c r="AY35" s="865"/>
      <c r="AZ35" s="863"/>
      <c r="BA35" s="867"/>
      <c r="BB35" s="863"/>
    </row>
    <row r="36" spans="1:54" s="268" customFormat="1" ht="243" customHeight="1" x14ac:dyDescent="0.2">
      <c r="A36" s="542">
        <v>17</v>
      </c>
      <c r="B36" s="542" t="s">
        <v>1455</v>
      </c>
      <c r="C36" s="543"/>
      <c r="D36" s="557" t="s">
        <v>1456</v>
      </c>
      <c r="E36" s="558" t="s">
        <v>1682</v>
      </c>
      <c r="F36" s="546" t="s">
        <v>561</v>
      </c>
      <c r="G36" s="546">
        <v>0</v>
      </c>
      <c r="H36" s="546">
        <v>0</v>
      </c>
      <c r="I36" s="547" t="s">
        <v>1484</v>
      </c>
      <c r="J36" s="548" t="s">
        <v>1242</v>
      </c>
      <c r="K36" s="543" t="s">
        <v>1683</v>
      </c>
      <c r="L36" s="543" t="s">
        <v>1684</v>
      </c>
      <c r="M36" s="548" t="s">
        <v>1242</v>
      </c>
      <c r="N36" s="543" t="s">
        <v>1685</v>
      </c>
      <c r="O36" s="543" t="s">
        <v>1686</v>
      </c>
      <c r="P36" s="547" t="s">
        <v>1307</v>
      </c>
      <c r="Q36" s="547" t="s">
        <v>281</v>
      </c>
      <c r="R36" s="543" t="e">
        <f t="shared" si="28"/>
        <v>#REF!</v>
      </c>
      <c r="S36" s="547" t="s">
        <v>1490</v>
      </c>
      <c r="T36" s="549" t="s">
        <v>1687</v>
      </c>
      <c r="U36" s="551">
        <v>1</v>
      </c>
      <c r="V36" s="552" t="s">
        <v>187</v>
      </c>
      <c r="W36" s="553" t="s">
        <v>1492</v>
      </c>
      <c r="X36" s="553" t="s">
        <v>1493</v>
      </c>
      <c r="Y36" s="553" t="s">
        <v>1494</v>
      </c>
      <c r="Z36" s="553" t="s">
        <v>1495</v>
      </c>
      <c r="AA36" s="553" t="s">
        <v>1496</v>
      </c>
      <c r="AB36" s="553" t="s">
        <v>1497</v>
      </c>
      <c r="AC36" s="553" t="s">
        <v>1498</v>
      </c>
      <c r="AD36" s="554">
        <f t="shared" si="1"/>
        <v>15</v>
      </c>
      <c r="AE36" s="554">
        <f t="shared" si="2"/>
        <v>15</v>
      </c>
      <c r="AF36" s="554">
        <f t="shared" si="3"/>
        <v>15</v>
      </c>
      <c r="AG36" s="554">
        <f t="shared" si="4"/>
        <v>15</v>
      </c>
      <c r="AH36" s="554">
        <f t="shared" si="5"/>
        <v>15</v>
      </c>
      <c r="AI36" s="554">
        <f t="shared" si="6"/>
        <v>15</v>
      </c>
      <c r="AJ36" s="554">
        <f t="shared" si="7"/>
        <v>10</v>
      </c>
      <c r="AK36" s="554">
        <f t="shared" si="8"/>
        <v>100</v>
      </c>
      <c r="AL36" s="554" t="str">
        <f t="shared" si="13"/>
        <v>Fuerte</v>
      </c>
      <c r="AM36" s="553" t="s">
        <v>1499</v>
      </c>
      <c r="AN36" s="554" t="str">
        <f t="shared" si="14"/>
        <v>Fuerte</v>
      </c>
      <c r="AO36" s="554">
        <f t="shared" si="9"/>
        <v>100</v>
      </c>
      <c r="AP36" s="554" t="str">
        <f t="shared" si="15"/>
        <v>No</v>
      </c>
      <c r="AQ36" s="555">
        <f t="shared" si="34"/>
        <v>100</v>
      </c>
      <c r="AR36" s="555" t="str">
        <f t="shared" si="16"/>
        <v>Fuerte</v>
      </c>
      <c r="AS36" s="547" t="s">
        <v>1500</v>
      </c>
      <c r="AT36" s="547" t="s">
        <v>1500</v>
      </c>
      <c r="AU36" s="556">
        <f t="shared" si="17"/>
        <v>2</v>
      </c>
      <c r="AV36" s="556">
        <f t="shared" si="11"/>
        <v>0</v>
      </c>
      <c r="AW36" s="543" t="e">
        <f t="shared" si="29"/>
        <v>#REF!</v>
      </c>
      <c r="AX36" s="542" t="s">
        <v>1688</v>
      </c>
      <c r="AY36" s="542" t="s">
        <v>1689</v>
      </c>
      <c r="AZ36" s="551" t="s">
        <v>1690</v>
      </c>
      <c r="BA36" s="559">
        <v>45992</v>
      </c>
      <c r="BB36" s="551" t="s">
        <v>1680</v>
      </c>
    </row>
    <row r="37" spans="1:54" s="268" customFormat="1" ht="219.75" customHeight="1" x14ac:dyDescent="0.2">
      <c r="A37" s="542">
        <v>17</v>
      </c>
      <c r="B37" s="542" t="s">
        <v>1455</v>
      </c>
      <c r="C37" s="560"/>
      <c r="D37" s="561" t="s">
        <v>1456</v>
      </c>
      <c r="E37" s="602" t="s">
        <v>1691</v>
      </c>
      <c r="F37" s="546" t="s">
        <v>561</v>
      </c>
      <c r="G37" s="546">
        <v>0</v>
      </c>
      <c r="H37" s="546">
        <v>0</v>
      </c>
      <c r="I37" s="547" t="s">
        <v>1484</v>
      </c>
      <c r="J37" s="562" t="s">
        <v>1242</v>
      </c>
      <c r="K37" s="563" t="s">
        <v>1683</v>
      </c>
      <c r="L37" s="563" t="s">
        <v>1684</v>
      </c>
      <c r="M37" s="562" t="s">
        <v>1242</v>
      </c>
      <c r="N37" s="563" t="s">
        <v>1685</v>
      </c>
      <c r="O37" s="563" t="s">
        <v>1686</v>
      </c>
      <c r="P37" s="547" t="s">
        <v>1307</v>
      </c>
      <c r="Q37" s="547" t="s">
        <v>281</v>
      </c>
      <c r="R37" s="563" t="e">
        <f t="shared" si="28"/>
        <v>#REF!</v>
      </c>
      <c r="S37" s="547" t="s">
        <v>1490</v>
      </c>
      <c r="T37" s="603" t="s">
        <v>1692</v>
      </c>
      <c r="U37" s="551">
        <v>2</v>
      </c>
      <c r="V37" s="584" t="s">
        <v>187</v>
      </c>
      <c r="W37" s="585" t="s">
        <v>1492</v>
      </c>
      <c r="X37" s="585" t="s">
        <v>1493</v>
      </c>
      <c r="Y37" s="585" t="s">
        <v>1494</v>
      </c>
      <c r="Z37" s="585" t="s">
        <v>1495</v>
      </c>
      <c r="AA37" s="585" t="s">
        <v>1496</v>
      </c>
      <c r="AB37" s="585" t="s">
        <v>1628</v>
      </c>
      <c r="AC37" s="585" t="s">
        <v>1498</v>
      </c>
      <c r="AD37" s="586">
        <f>IF(W37="Asignado",15,IF(W37="No asignado",0,"Seleccione"))</f>
        <v>15</v>
      </c>
      <c r="AE37" s="586">
        <f>IF(X37="Adecuado",15,IF(X37="Inadecuado",0,"Seleccione"))</f>
        <v>15</v>
      </c>
      <c r="AF37" s="586">
        <f t="shared" si="3"/>
        <v>15</v>
      </c>
      <c r="AG37" s="586">
        <f t="shared" si="4"/>
        <v>15</v>
      </c>
      <c r="AH37" s="586">
        <f t="shared" si="5"/>
        <v>15</v>
      </c>
      <c r="AI37" s="586">
        <f t="shared" si="6"/>
        <v>0</v>
      </c>
      <c r="AJ37" s="586">
        <f t="shared" si="7"/>
        <v>10</v>
      </c>
      <c r="AK37" s="586">
        <f>IF(COUNTBLANK(W37:AC37)&gt;0,"Complete las respuestas",SUM(AD37:AJ37))</f>
        <v>85</v>
      </c>
      <c r="AL37" s="586" t="str">
        <f t="shared" si="13"/>
        <v>Débil</v>
      </c>
      <c r="AM37" s="585" t="s">
        <v>1499</v>
      </c>
      <c r="AN37" s="586" t="str">
        <f t="shared" si="14"/>
        <v>Débil</v>
      </c>
      <c r="AO37" s="586">
        <f t="shared" si="9"/>
        <v>0</v>
      </c>
      <c r="AP37" s="586" t="str">
        <f t="shared" si="15"/>
        <v>Si</v>
      </c>
      <c r="AQ37" s="587">
        <f t="shared" si="34"/>
        <v>0</v>
      </c>
      <c r="AR37" s="587" t="str">
        <f t="shared" si="16"/>
        <v>Débil</v>
      </c>
      <c r="AS37" s="547" t="s">
        <v>1500</v>
      </c>
      <c r="AT37" s="547" t="s">
        <v>1500</v>
      </c>
      <c r="AU37" s="588">
        <f t="shared" si="17"/>
        <v>0</v>
      </c>
      <c r="AV37" s="588">
        <f t="shared" si="11"/>
        <v>0</v>
      </c>
      <c r="AW37" s="543" t="e">
        <f t="shared" si="29"/>
        <v>#REF!</v>
      </c>
      <c r="AX37" s="589" t="s">
        <v>1693</v>
      </c>
      <c r="AY37" s="589" t="s">
        <v>1694</v>
      </c>
      <c r="AZ37" s="589" t="s">
        <v>1695</v>
      </c>
      <c r="BA37" s="590">
        <v>45992</v>
      </c>
      <c r="BB37" s="591" t="s">
        <v>1680</v>
      </c>
    </row>
    <row r="38" spans="1:54" s="268" customFormat="1" ht="279.75" customHeight="1" x14ac:dyDescent="0.2">
      <c r="A38" s="289">
        <v>18</v>
      </c>
      <c r="B38" s="289" t="s">
        <v>1457</v>
      </c>
      <c r="C38" s="274"/>
      <c r="D38" s="274" t="s">
        <v>1458</v>
      </c>
      <c r="E38" s="274" t="s">
        <v>1696</v>
      </c>
      <c r="F38" s="269" t="s">
        <v>811</v>
      </c>
      <c r="G38" s="269">
        <v>0</v>
      </c>
      <c r="H38" s="269">
        <v>0</v>
      </c>
      <c r="I38" s="326" t="s">
        <v>1484</v>
      </c>
      <c r="J38" s="327" t="s">
        <v>1242</v>
      </c>
      <c r="K38" s="274" t="s">
        <v>1242</v>
      </c>
      <c r="L38" s="274" t="s">
        <v>1697</v>
      </c>
      <c r="M38" s="327" t="s">
        <v>1242</v>
      </c>
      <c r="N38" s="274" t="s">
        <v>1698</v>
      </c>
      <c r="O38" s="274" t="s">
        <v>1699</v>
      </c>
      <c r="P38" s="326" t="s">
        <v>1304</v>
      </c>
      <c r="Q38" s="326" t="s">
        <v>342</v>
      </c>
      <c r="R38" s="274" t="e">
        <f t="shared" si="28"/>
        <v>#REF!</v>
      </c>
      <c r="S38" s="326" t="s">
        <v>1490</v>
      </c>
      <c r="T38" s="600" t="s">
        <v>1700</v>
      </c>
      <c r="U38" s="303">
        <v>1</v>
      </c>
      <c r="V38" s="323" t="s">
        <v>228</v>
      </c>
      <c r="W38" s="324" t="s">
        <v>1492</v>
      </c>
      <c r="X38" s="324" t="s">
        <v>1493</v>
      </c>
      <c r="Y38" s="324" t="s">
        <v>1494</v>
      </c>
      <c r="Z38" s="324" t="s">
        <v>1548</v>
      </c>
      <c r="AA38" s="324" t="s">
        <v>1496</v>
      </c>
      <c r="AB38" s="324" t="s">
        <v>1497</v>
      </c>
      <c r="AC38" s="324" t="s">
        <v>1498</v>
      </c>
      <c r="AD38" s="271">
        <f>IF(W38="Asignado",15,IF(W38="No asignado",0,"Seleccione"))</f>
        <v>15</v>
      </c>
      <c r="AE38" s="271">
        <f>IF(X38="Adecuado",15,IF(X38="Inadecuado",0,"Seleccione"))</f>
        <v>15</v>
      </c>
      <c r="AF38" s="271">
        <f t="shared" si="3"/>
        <v>15</v>
      </c>
      <c r="AG38" s="271">
        <f t="shared" si="4"/>
        <v>10</v>
      </c>
      <c r="AH38" s="271">
        <f t="shared" si="5"/>
        <v>15</v>
      </c>
      <c r="AI38" s="271">
        <f t="shared" si="6"/>
        <v>15</v>
      </c>
      <c r="AJ38" s="271">
        <f t="shared" si="7"/>
        <v>10</v>
      </c>
      <c r="AK38" s="271">
        <f>IF(COUNTBLANK(W38:AC38)&gt;0,"Complete las respuestas",SUM(AD38:AJ38))</f>
        <v>95</v>
      </c>
      <c r="AL38" s="271" t="str">
        <f t="shared" si="13"/>
        <v>Moderado</v>
      </c>
      <c r="AM38" s="324" t="s">
        <v>1499</v>
      </c>
      <c r="AN38" s="271" t="str">
        <f t="shared" si="14"/>
        <v>Moderado</v>
      </c>
      <c r="AO38" s="271">
        <f t="shared" si="9"/>
        <v>50</v>
      </c>
      <c r="AP38" s="271" t="str">
        <f t="shared" si="15"/>
        <v>Si</v>
      </c>
      <c r="AQ38" s="272">
        <f t="shared" si="34"/>
        <v>50</v>
      </c>
      <c r="AR38" s="272" t="str">
        <f t="shared" si="16"/>
        <v>Moderado</v>
      </c>
      <c r="AS38" s="328" t="s">
        <v>1500</v>
      </c>
      <c r="AT38" s="328" t="s">
        <v>1500</v>
      </c>
      <c r="AU38" s="273">
        <f t="shared" si="17"/>
        <v>1</v>
      </c>
      <c r="AV38" s="273">
        <f t="shared" si="11"/>
        <v>0</v>
      </c>
      <c r="AW38" s="270" t="e">
        <f t="shared" si="29"/>
        <v>#REF!</v>
      </c>
      <c r="AX38" s="858" t="s">
        <v>1701</v>
      </c>
      <c r="AY38" s="858" t="s">
        <v>1702</v>
      </c>
      <c r="AZ38" s="858" t="s">
        <v>1703</v>
      </c>
      <c r="BA38" s="860">
        <v>46022</v>
      </c>
      <c r="BB38" s="858" t="s">
        <v>1704</v>
      </c>
    </row>
    <row r="39" spans="1:54" s="268" customFormat="1" ht="222.75" customHeight="1" x14ac:dyDescent="0.2">
      <c r="A39" s="289">
        <v>18</v>
      </c>
      <c r="B39" s="289" t="s">
        <v>1457</v>
      </c>
      <c r="C39" s="274"/>
      <c r="D39" s="274" t="s">
        <v>1458</v>
      </c>
      <c r="E39" s="274" t="s">
        <v>1696</v>
      </c>
      <c r="F39" s="269" t="s">
        <v>811</v>
      </c>
      <c r="G39" s="269">
        <v>0</v>
      </c>
      <c r="H39" s="269">
        <v>0</v>
      </c>
      <c r="I39" s="326" t="s">
        <v>1484</v>
      </c>
      <c r="J39" s="327" t="s">
        <v>1242</v>
      </c>
      <c r="K39" s="274" t="s">
        <v>1242</v>
      </c>
      <c r="L39" s="274" t="s">
        <v>1697</v>
      </c>
      <c r="M39" s="327" t="s">
        <v>1242</v>
      </c>
      <c r="N39" s="274" t="s">
        <v>1698</v>
      </c>
      <c r="O39" s="274" t="s">
        <v>1699</v>
      </c>
      <c r="P39" s="326" t="s">
        <v>1304</v>
      </c>
      <c r="Q39" s="326" t="s">
        <v>342</v>
      </c>
      <c r="R39" s="274" t="e">
        <f t="shared" ref="R39" si="35">IF(OR(P39="",Q39=""),"",VLOOKUP(VALUE(CONCATENATE(VLOOKUP(Q39,TImpacto,2,FALSE),VLOOKUP(P39,TProbabilidad,2,FALSE))),TMapaCalor,2,FALSE))</f>
        <v>#REF!</v>
      </c>
      <c r="S39" s="326" t="s">
        <v>1490</v>
      </c>
      <c r="T39" s="322" t="s">
        <v>1705</v>
      </c>
      <c r="U39" s="303">
        <v>2</v>
      </c>
      <c r="V39" s="323" t="s">
        <v>187</v>
      </c>
      <c r="W39" s="324" t="s">
        <v>1492</v>
      </c>
      <c r="X39" s="324" t="s">
        <v>1493</v>
      </c>
      <c r="Y39" s="324" t="s">
        <v>1494</v>
      </c>
      <c r="Z39" s="324" t="s">
        <v>1548</v>
      </c>
      <c r="AA39" s="324" t="s">
        <v>1496</v>
      </c>
      <c r="AB39" s="324" t="s">
        <v>1497</v>
      </c>
      <c r="AC39" s="324" t="s">
        <v>1498</v>
      </c>
      <c r="AD39" s="271">
        <f t="shared" ref="AD39:AD59" si="36">IF(W39="Asignado",15,IF(W39="No asignado",0,"Seleccione"))</f>
        <v>15</v>
      </c>
      <c r="AE39" s="271">
        <f t="shared" ref="AE39:AE59" si="37">IF(X39="Adecuado",15,IF(X39="Inadecuado",0,"Seleccione"))</f>
        <v>15</v>
      </c>
      <c r="AF39" s="271">
        <f t="shared" si="3"/>
        <v>15</v>
      </c>
      <c r="AG39" s="271">
        <f t="shared" si="4"/>
        <v>10</v>
      </c>
      <c r="AH39" s="271">
        <f t="shared" si="5"/>
        <v>15</v>
      </c>
      <c r="AI39" s="271">
        <f t="shared" si="6"/>
        <v>15</v>
      </c>
      <c r="AJ39" s="271">
        <f t="shared" si="7"/>
        <v>10</v>
      </c>
      <c r="AK39" s="271">
        <f t="shared" ref="AK39:AK59" si="38">IF(COUNTBLANK(W39:AC39)&gt;0,"Complete las respuestas",SUM(AD39:AJ39))</f>
        <v>95</v>
      </c>
      <c r="AL39" s="271" t="str">
        <f t="shared" si="13"/>
        <v>Moderado</v>
      </c>
      <c r="AM39" s="324" t="s">
        <v>1499</v>
      </c>
      <c r="AN39" s="271" t="str">
        <f t="shared" si="14"/>
        <v>Moderado</v>
      </c>
      <c r="AO39" s="271">
        <f t="shared" si="9"/>
        <v>50</v>
      </c>
      <c r="AP39" s="271" t="str">
        <f t="shared" si="15"/>
        <v>Si</v>
      </c>
      <c r="AQ39" s="272">
        <f t="shared" si="34"/>
        <v>50</v>
      </c>
      <c r="AR39" s="272" t="str">
        <f t="shared" si="16"/>
        <v>Moderado</v>
      </c>
      <c r="AS39" s="328" t="s">
        <v>1500</v>
      </c>
      <c r="AT39" s="328" t="s">
        <v>1500</v>
      </c>
      <c r="AU39" s="273">
        <f t="shared" si="17"/>
        <v>1</v>
      </c>
      <c r="AV39" s="273">
        <f t="shared" si="11"/>
        <v>0</v>
      </c>
      <c r="AW39" s="270" t="e">
        <f t="shared" ref="AW39:AW59" si="39">IF(OR(P39="",Q39="",AU39="Verifique",AV39="Verifique"),"",VLOOKUP(VALUE(CONCATENATE(IF((VLOOKUP(Q39,TImpacto,2,FALSE)-AV39)&lt;1,1,(VLOOKUP(Q39,TImpacto,2,FALSE)-AV39)),IF((VLOOKUP(P39,TProbabilidad,2,FALSE)-AU39)&lt;1,1,(VLOOKUP(P39,TProbabilidad,2,FALSE)-AU39)))),TMapaCalor,2,FALSE))</f>
        <v>#REF!</v>
      </c>
      <c r="AX39" s="859"/>
      <c r="AY39" s="859"/>
      <c r="AZ39" s="859"/>
      <c r="BA39" s="861"/>
      <c r="BB39" s="859"/>
    </row>
    <row r="40" spans="1:54" s="268" customFormat="1" ht="254.25" customHeight="1" x14ac:dyDescent="0.2">
      <c r="A40" s="289">
        <v>19</v>
      </c>
      <c r="B40" s="289" t="s">
        <v>1459</v>
      </c>
      <c r="C40" s="274"/>
      <c r="D40" s="274" t="s">
        <v>1460</v>
      </c>
      <c r="E40" s="274" t="s">
        <v>1706</v>
      </c>
      <c r="F40" s="269" t="s">
        <v>965</v>
      </c>
      <c r="G40" s="269">
        <v>0</v>
      </c>
      <c r="H40" s="269">
        <v>0</v>
      </c>
      <c r="I40" s="326" t="s">
        <v>1484</v>
      </c>
      <c r="J40" s="327" t="s">
        <v>1242</v>
      </c>
      <c r="K40" s="274" t="s">
        <v>1707</v>
      </c>
      <c r="L40" s="274" t="s">
        <v>1538</v>
      </c>
      <c r="M40" s="327" t="s">
        <v>1242</v>
      </c>
      <c r="N40" s="274" t="s">
        <v>1708</v>
      </c>
      <c r="O40" s="274" t="s">
        <v>1541</v>
      </c>
      <c r="P40" s="326" t="s">
        <v>1307</v>
      </c>
      <c r="Q40" s="326" t="s">
        <v>342</v>
      </c>
      <c r="R40" s="274" t="e">
        <f t="shared" ref="R40:R59" si="40">IF(OR(P40="",Q40=""),"",VLOOKUP(VALUE(CONCATENATE(VLOOKUP(Q40,TImpacto,2,FALSE),VLOOKUP(P40,TProbabilidad,2,FALSE))),TMapaCalor,2,FALSE))</f>
        <v>#REF!</v>
      </c>
      <c r="S40" s="326" t="s">
        <v>1490</v>
      </c>
      <c r="T40" s="322" t="s">
        <v>1709</v>
      </c>
      <c r="U40" s="303">
        <v>1</v>
      </c>
      <c r="V40" s="323" t="s">
        <v>187</v>
      </c>
      <c r="W40" s="324" t="s">
        <v>1492</v>
      </c>
      <c r="X40" s="324" t="s">
        <v>1493</v>
      </c>
      <c r="Y40" s="324" t="s">
        <v>1494</v>
      </c>
      <c r="Z40" s="324" t="s">
        <v>1495</v>
      </c>
      <c r="AA40" s="324" t="s">
        <v>1496</v>
      </c>
      <c r="AB40" s="324" t="s">
        <v>1497</v>
      </c>
      <c r="AC40" s="324" t="s">
        <v>1498</v>
      </c>
      <c r="AD40" s="271">
        <f t="shared" si="36"/>
        <v>15</v>
      </c>
      <c r="AE40" s="271">
        <f t="shared" si="37"/>
        <v>15</v>
      </c>
      <c r="AF40" s="271">
        <f t="shared" si="3"/>
        <v>15</v>
      </c>
      <c r="AG40" s="271">
        <f t="shared" si="4"/>
        <v>15</v>
      </c>
      <c r="AH40" s="271">
        <f t="shared" si="5"/>
        <v>15</v>
      </c>
      <c r="AI40" s="271">
        <f t="shared" si="6"/>
        <v>15</v>
      </c>
      <c r="AJ40" s="271">
        <f t="shared" si="7"/>
        <v>10</v>
      </c>
      <c r="AK40" s="271">
        <f t="shared" si="38"/>
        <v>100</v>
      </c>
      <c r="AL40" s="271" t="str">
        <f t="shared" si="13"/>
        <v>Fuerte</v>
      </c>
      <c r="AM40" s="324" t="s">
        <v>1499</v>
      </c>
      <c r="AN40" s="271" t="str">
        <f t="shared" si="14"/>
        <v>Fuerte</v>
      </c>
      <c r="AO40" s="271">
        <f t="shared" si="9"/>
        <v>100</v>
      </c>
      <c r="AP40" s="271" t="str">
        <f t="shared" si="15"/>
        <v>No</v>
      </c>
      <c r="AQ40" s="272">
        <f t="shared" si="34"/>
        <v>100</v>
      </c>
      <c r="AR40" s="272" t="str">
        <f t="shared" si="16"/>
        <v>Fuerte</v>
      </c>
      <c r="AS40" s="328" t="s">
        <v>1500</v>
      </c>
      <c r="AT40" s="328" t="s">
        <v>1500</v>
      </c>
      <c r="AU40" s="273">
        <f t="shared" si="17"/>
        <v>2</v>
      </c>
      <c r="AV40" s="273">
        <f t="shared" si="11"/>
        <v>0</v>
      </c>
      <c r="AW40" s="270" t="e">
        <f t="shared" si="39"/>
        <v>#REF!</v>
      </c>
      <c r="AX40" s="325" t="s">
        <v>1710</v>
      </c>
      <c r="AY40" s="325" t="s">
        <v>1544</v>
      </c>
      <c r="AZ40" s="325" t="s">
        <v>1711</v>
      </c>
      <c r="BA40" s="329">
        <v>46022</v>
      </c>
      <c r="BB40" s="330" t="s">
        <v>1712</v>
      </c>
    </row>
    <row r="41" spans="1:54" s="268" customFormat="1" ht="191.25" x14ac:dyDescent="0.2">
      <c r="A41" s="289">
        <v>20</v>
      </c>
      <c r="B41" s="289" t="s">
        <v>1461</v>
      </c>
      <c r="C41" s="274"/>
      <c r="D41" s="274" t="s">
        <v>1462</v>
      </c>
      <c r="E41" s="274" t="s">
        <v>1713</v>
      </c>
      <c r="F41" s="269" t="s">
        <v>345</v>
      </c>
      <c r="G41" s="269">
        <v>0</v>
      </c>
      <c r="H41" s="269">
        <v>0</v>
      </c>
      <c r="I41" s="326" t="s">
        <v>1484</v>
      </c>
      <c r="J41" s="327" t="s">
        <v>1714</v>
      </c>
      <c r="K41" s="274" t="s">
        <v>1715</v>
      </c>
      <c r="L41" s="274" t="s">
        <v>1716</v>
      </c>
      <c r="M41" s="327" t="s">
        <v>1717</v>
      </c>
      <c r="N41" s="274" t="s">
        <v>1718</v>
      </c>
      <c r="O41" s="274" t="s">
        <v>1719</v>
      </c>
      <c r="P41" s="326" t="s">
        <v>1307</v>
      </c>
      <c r="Q41" s="326" t="s">
        <v>281</v>
      </c>
      <c r="R41" s="274" t="e">
        <f t="shared" si="40"/>
        <v>#REF!</v>
      </c>
      <c r="S41" s="326" t="s">
        <v>1490</v>
      </c>
      <c r="T41" s="322" t="s">
        <v>1720</v>
      </c>
      <c r="U41" s="303">
        <v>1</v>
      </c>
      <c r="V41" s="323" t="s">
        <v>187</v>
      </c>
      <c r="W41" s="324" t="s">
        <v>1492</v>
      </c>
      <c r="X41" s="324" t="s">
        <v>1493</v>
      </c>
      <c r="Y41" s="324" t="s">
        <v>1494</v>
      </c>
      <c r="Z41" s="324" t="s">
        <v>1495</v>
      </c>
      <c r="AA41" s="324" t="s">
        <v>1496</v>
      </c>
      <c r="AB41" s="324" t="s">
        <v>1497</v>
      </c>
      <c r="AC41" s="324" t="s">
        <v>1498</v>
      </c>
      <c r="AD41" s="271">
        <f t="shared" si="36"/>
        <v>15</v>
      </c>
      <c r="AE41" s="271">
        <f t="shared" si="37"/>
        <v>15</v>
      </c>
      <c r="AF41" s="271">
        <f t="shared" si="3"/>
        <v>15</v>
      </c>
      <c r="AG41" s="271">
        <f t="shared" si="4"/>
        <v>15</v>
      </c>
      <c r="AH41" s="271">
        <f t="shared" si="5"/>
        <v>15</v>
      </c>
      <c r="AI41" s="271">
        <f t="shared" si="6"/>
        <v>15</v>
      </c>
      <c r="AJ41" s="271">
        <f t="shared" si="7"/>
        <v>10</v>
      </c>
      <c r="AK41" s="271">
        <f t="shared" si="38"/>
        <v>100</v>
      </c>
      <c r="AL41" s="271" t="str">
        <f t="shared" si="13"/>
        <v>Fuerte</v>
      </c>
      <c r="AM41" s="324" t="s">
        <v>1499</v>
      </c>
      <c r="AN41" s="271" t="str">
        <f t="shared" si="14"/>
        <v>Fuerte</v>
      </c>
      <c r="AO41" s="271">
        <f t="shared" si="9"/>
        <v>100</v>
      </c>
      <c r="AP41" s="271" t="str">
        <f t="shared" si="15"/>
        <v>No</v>
      </c>
      <c r="AQ41" s="272">
        <f t="shared" si="34"/>
        <v>100</v>
      </c>
      <c r="AR41" s="272" t="str">
        <f t="shared" si="16"/>
        <v>Fuerte</v>
      </c>
      <c r="AS41" s="328" t="s">
        <v>1500</v>
      </c>
      <c r="AT41" s="328" t="s">
        <v>1500</v>
      </c>
      <c r="AU41" s="273">
        <f t="shared" si="17"/>
        <v>2</v>
      </c>
      <c r="AV41" s="273">
        <f t="shared" si="11"/>
        <v>0</v>
      </c>
      <c r="AW41" s="270" t="e">
        <f t="shared" si="39"/>
        <v>#REF!</v>
      </c>
      <c r="AX41" s="858" t="s">
        <v>1721</v>
      </c>
      <c r="AY41" s="858" t="s">
        <v>1544</v>
      </c>
      <c r="AZ41" s="858" t="s">
        <v>1722</v>
      </c>
      <c r="BA41" s="860">
        <v>46022</v>
      </c>
      <c r="BB41" s="858" t="s">
        <v>1723</v>
      </c>
    </row>
    <row r="42" spans="1:54" s="268" customFormat="1" ht="191.25" x14ac:dyDescent="0.2">
      <c r="A42" s="289">
        <v>20</v>
      </c>
      <c r="B42" s="289" t="s">
        <v>1461</v>
      </c>
      <c r="C42" s="274"/>
      <c r="D42" s="274" t="s">
        <v>1462</v>
      </c>
      <c r="E42" s="274" t="s">
        <v>1713</v>
      </c>
      <c r="F42" s="269" t="s">
        <v>345</v>
      </c>
      <c r="G42" s="269">
        <v>0</v>
      </c>
      <c r="H42" s="269">
        <v>0</v>
      </c>
      <c r="I42" s="326" t="s">
        <v>1484</v>
      </c>
      <c r="J42" s="327" t="s">
        <v>1714</v>
      </c>
      <c r="K42" s="274" t="s">
        <v>1715</v>
      </c>
      <c r="L42" s="274" t="s">
        <v>1716</v>
      </c>
      <c r="M42" s="327" t="s">
        <v>1717</v>
      </c>
      <c r="N42" s="274" t="s">
        <v>1718</v>
      </c>
      <c r="O42" s="274" t="s">
        <v>1719</v>
      </c>
      <c r="P42" s="326" t="s">
        <v>1307</v>
      </c>
      <c r="Q42" s="326" t="s">
        <v>281</v>
      </c>
      <c r="R42" s="274" t="e">
        <f t="shared" si="40"/>
        <v>#REF!</v>
      </c>
      <c r="S42" s="326" t="s">
        <v>1490</v>
      </c>
      <c r="T42" s="322" t="s">
        <v>1724</v>
      </c>
      <c r="U42" s="303">
        <v>2</v>
      </c>
      <c r="V42" s="323" t="s">
        <v>228</v>
      </c>
      <c r="W42" s="324" t="s">
        <v>1492</v>
      </c>
      <c r="X42" s="324" t="s">
        <v>1493</v>
      </c>
      <c r="Y42" s="324" t="s">
        <v>1494</v>
      </c>
      <c r="Z42" s="324" t="s">
        <v>1548</v>
      </c>
      <c r="AA42" s="324" t="s">
        <v>1496</v>
      </c>
      <c r="AB42" s="324" t="s">
        <v>1497</v>
      </c>
      <c r="AC42" s="324" t="s">
        <v>1498</v>
      </c>
      <c r="AD42" s="271">
        <f t="shared" si="36"/>
        <v>15</v>
      </c>
      <c r="AE42" s="271">
        <f t="shared" si="37"/>
        <v>15</v>
      </c>
      <c r="AF42" s="271">
        <f t="shared" si="3"/>
        <v>15</v>
      </c>
      <c r="AG42" s="271">
        <f t="shared" si="4"/>
        <v>10</v>
      </c>
      <c r="AH42" s="271">
        <f t="shared" si="5"/>
        <v>15</v>
      </c>
      <c r="AI42" s="271">
        <f t="shared" si="6"/>
        <v>15</v>
      </c>
      <c r="AJ42" s="271">
        <f t="shared" si="7"/>
        <v>10</v>
      </c>
      <c r="AK42" s="271">
        <f t="shared" si="38"/>
        <v>95</v>
      </c>
      <c r="AL42" s="271" t="str">
        <f t="shared" si="13"/>
        <v>Moderado</v>
      </c>
      <c r="AM42" s="324" t="s">
        <v>1499</v>
      </c>
      <c r="AN42" s="271" t="str">
        <f t="shared" si="14"/>
        <v>Moderado</v>
      </c>
      <c r="AO42" s="271">
        <f t="shared" si="9"/>
        <v>50</v>
      </c>
      <c r="AP42" s="271" t="str">
        <f t="shared" si="15"/>
        <v>Si</v>
      </c>
      <c r="AQ42" s="272">
        <f t="shared" si="34"/>
        <v>50</v>
      </c>
      <c r="AR42" s="272" t="str">
        <f t="shared" si="16"/>
        <v>Moderado</v>
      </c>
      <c r="AS42" s="328" t="s">
        <v>1500</v>
      </c>
      <c r="AT42" s="328" t="s">
        <v>1500</v>
      </c>
      <c r="AU42" s="273">
        <f t="shared" si="17"/>
        <v>1</v>
      </c>
      <c r="AV42" s="273">
        <f t="shared" si="11"/>
        <v>0</v>
      </c>
      <c r="AW42" s="270" t="e">
        <f t="shared" si="39"/>
        <v>#REF!</v>
      </c>
      <c r="AX42" s="859"/>
      <c r="AY42" s="859"/>
      <c r="AZ42" s="859"/>
      <c r="BA42" s="861"/>
      <c r="BB42" s="868"/>
    </row>
    <row r="43" spans="1:54" s="268" customFormat="1" ht="191.25" x14ac:dyDescent="0.2">
      <c r="A43" s="289">
        <v>20</v>
      </c>
      <c r="B43" s="289" t="s">
        <v>1461</v>
      </c>
      <c r="C43" s="274"/>
      <c r="D43" s="274" t="s">
        <v>1462</v>
      </c>
      <c r="E43" s="274" t="s">
        <v>1713</v>
      </c>
      <c r="F43" s="269" t="s">
        <v>345</v>
      </c>
      <c r="G43" s="269">
        <v>0</v>
      </c>
      <c r="H43" s="269">
        <v>0</v>
      </c>
      <c r="I43" s="326" t="s">
        <v>1484</v>
      </c>
      <c r="J43" s="327" t="s">
        <v>1714</v>
      </c>
      <c r="K43" s="274" t="s">
        <v>1715</v>
      </c>
      <c r="L43" s="274" t="s">
        <v>1716</v>
      </c>
      <c r="M43" s="327" t="s">
        <v>1717</v>
      </c>
      <c r="N43" s="274" t="s">
        <v>1718</v>
      </c>
      <c r="O43" s="274" t="s">
        <v>1719</v>
      </c>
      <c r="P43" s="326" t="s">
        <v>1307</v>
      </c>
      <c r="Q43" s="326" t="s">
        <v>281</v>
      </c>
      <c r="R43" s="274" t="e">
        <f t="shared" si="40"/>
        <v>#REF!</v>
      </c>
      <c r="S43" s="326" t="s">
        <v>1490</v>
      </c>
      <c r="T43" s="331" t="s">
        <v>1725</v>
      </c>
      <c r="U43" s="303">
        <v>3</v>
      </c>
      <c r="V43" s="323" t="s">
        <v>228</v>
      </c>
      <c r="W43" s="324" t="s">
        <v>1492</v>
      </c>
      <c r="X43" s="324" t="s">
        <v>1493</v>
      </c>
      <c r="Y43" s="324" t="s">
        <v>1494</v>
      </c>
      <c r="Z43" s="324" t="s">
        <v>1548</v>
      </c>
      <c r="AA43" s="324" t="s">
        <v>1496</v>
      </c>
      <c r="AB43" s="324" t="s">
        <v>1497</v>
      </c>
      <c r="AC43" s="324" t="s">
        <v>1498</v>
      </c>
      <c r="AD43" s="271">
        <f t="shared" si="36"/>
        <v>15</v>
      </c>
      <c r="AE43" s="271">
        <f t="shared" si="37"/>
        <v>15</v>
      </c>
      <c r="AF43" s="271">
        <f t="shared" si="3"/>
        <v>15</v>
      </c>
      <c r="AG43" s="271">
        <f t="shared" si="4"/>
        <v>10</v>
      </c>
      <c r="AH43" s="271">
        <f t="shared" si="5"/>
        <v>15</v>
      </c>
      <c r="AI43" s="271">
        <f t="shared" si="6"/>
        <v>15</v>
      </c>
      <c r="AJ43" s="271">
        <f t="shared" si="7"/>
        <v>10</v>
      </c>
      <c r="AK43" s="271">
        <f t="shared" si="38"/>
        <v>95</v>
      </c>
      <c r="AL43" s="271" t="str">
        <f t="shared" si="13"/>
        <v>Moderado</v>
      </c>
      <c r="AM43" s="324" t="s">
        <v>1499</v>
      </c>
      <c r="AN43" s="271" t="str">
        <f t="shared" si="14"/>
        <v>Moderado</v>
      </c>
      <c r="AO43" s="271">
        <f t="shared" si="9"/>
        <v>50</v>
      </c>
      <c r="AP43" s="271" t="str">
        <f t="shared" si="15"/>
        <v>Si</v>
      </c>
      <c r="AQ43" s="272">
        <f t="shared" si="34"/>
        <v>50</v>
      </c>
      <c r="AR43" s="272" t="str">
        <f t="shared" si="16"/>
        <v>Moderado</v>
      </c>
      <c r="AS43" s="328" t="s">
        <v>1500</v>
      </c>
      <c r="AT43" s="328" t="s">
        <v>1500</v>
      </c>
      <c r="AU43" s="273">
        <f t="shared" si="17"/>
        <v>1</v>
      </c>
      <c r="AV43" s="273">
        <f t="shared" si="11"/>
        <v>0</v>
      </c>
      <c r="AW43" s="270" t="e">
        <f t="shared" si="39"/>
        <v>#REF!</v>
      </c>
      <c r="AX43" s="325" t="s">
        <v>1726</v>
      </c>
      <c r="AY43" s="325" t="s">
        <v>1727</v>
      </c>
      <c r="AZ43" s="325" t="s">
        <v>1728</v>
      </c>
      <c r="BA43" s="329">
        <v>46022</v>
      </c>
      <c r="BB43" s="859"/>
    </row>
    <row r="44" spans="1:54" s="268" customFormat="1" ht="258.75" x14ac:dyDescent="0.2">
      <c r="A44" s="289">
        <v>21</v>
      </c>
      <c r="B44" s="289" t="s">
        <v>1463</v>
      </c>
      <c r="C44" s="274"/>
      <c r="D44" s="274" t="s">
        <v>1464</v>
      </c>
      <c r="E44" s="274" t="s">
        <v>1729</v>
      </c>
      <c r="F44" s="269" t="s">
        <v>631</v>
      </c>
      <c r="G44" s="269">
        <v>0</v>
      </c>
      <c r="H44" s="269" t="s">
        <v>1730</v>
      </c>
      <c r="I44" s="326" t="s">
        <v>1484</v>
      </c>
      <c r="J44" s="327" t="s">
        <v>1242</v>
      </c>
      <c r="K44" s="274" t="s">
        <v>1715</v>
      </c>
      <c r="L44" s="274" t="s">
        <v>1731</v>
      </c>
      <c r="M44" s="327" t="s">
        <v>1242</v>
      </c>
      <c r="N44" s="274" t="s">
        <v>1732</v>
      </c>
      <c r="O44" s="274" t="s">
        <v>1733</v>
      </c>
      <c r="P44" s="326" t="s">
        <v>1307</v>
      </c>
      <c r="Q44" s="326" t="s">
        <v>342</v>
      </c>
      <c r="R44" s="274" t="e">
        <f t="shared" si="40"/>
        <v>#REF!</v>
      </c>
      <c r="S44" s="326" t="s">
        <v>1490</v>
      </c>
      <c r="T44" s="331" t="s">
        <v>1734</v>
      </c>
      <c r="U44" s="303">
        <v>1</v>
      </c>
      <c r="V44" s="323" t="s">
        <v>187</v>
      </c>
      <c r="W44" s="324" t="s">
        <v>1492</v>
      </c>
      <c r="X44" s="324" t="s">
        <v>1493</v>
      </c>
      <c r="Y44" s="324" t="s">
        <v>1494</v>
      </c>
      <c r="Z44" s="324" t="s">
        <v>1495</v>
      </c>
      <c r="AA44" s="324" t="s">
        <v>1496</v>
      </c>
      <c r="AB44" s="324" t="s">
        <v>1497</v>
      </c>
      <c r="AC44" s="324" t="s">
        <v>1498</v>
      </c>
      <c r="AD44" s="271">
        <f t="shared" si="36"/>
        <v>15</v>
      </c>
      <c r="AE44" s="271">
        <f t="shared" si="37"/>
        <v>15</v>
      </c>
      <c r="AF44" s="271">
        <f t="shared" si="3"/>
        <v>15</v>
      </c>
      <c r="AG44" s="271">
        <f t="shared" si="4"/>
        <v>15</v>
      </c>
      <c r="AH44" s="271">
        <f t="shared" si="5"/>
        <v>15</v>
      </c>
      <c r="AI44" s="271">
        <f t="shared" si="6"/>
        <v>15</v>
      </c>
      <c r="AJ44" s="271">
        <f t="shared" si="7"/>
        <v>10</v>
      </c>
      <c r="AK44" s="271">
        <f t="shared" si="38"/>
        <v>100</v>
      </c>
      <c r="AL44" s="271" t="str">
        <f t="shared" si="13"/>
        <v>Fuerte</v>
      </c>
      <c r="AM44" s="324" t="s">
        <v>1499</v>
      </c>
      <c r="AN44" s="271" t="str">
        <f t="shared" si="14"/>
        <v>Fuerte</v>
      </c>
      <c r="AO44" s="271">
        <f t="shared" si="9"/>
        <v>100</v>
      </c>
      <c r="AP44" s="271" t="str">
        <f t="shared" si="15"/>
        <v>No</v>
      </c>
      <c r="AQ44" s="272">
        <f t="shared" si="34"/>
        <v>100</v>
      </c>
      <c r="AR44" s="272" t="str">
        <f t="shared" si="16"/>
        <v>Fuerte</v>
      </c>
      <c r="AS44" s="328" t="s">
        <v>1500</v>
      </c>
      <c r="AT44" s="328" t="s">
        <v>1500</v>
      </c>
      <c r="AU44" s="273">
        <f t="shared" si="17"/>
        <v>2</v>
      </c>
      <c r="AV44" s="273">
        <f t="shared" si="11"/>
        <v>0</v>
      </c>
      <c r="AW44" s="270" t="e">
        <f t="shared" si="39"/>
        <v>#REF!</v>
      </c>
      <c r="AX44" s="858" t="s">
        <v>1735</v>
      </c>
      <c r="AY44" s="858" t="s">
        <v>1736</v>
      </c>
      <c r="AZ44" s="858" t="s">
        <v>1737</v>
      </c>
      <c r="BA44" s="860">
        <v>46022</v>
      </c>
      <c r="BB44" s="858" t="s">
        <v>1738</v>
      </c>
    </row>
    <row r="45" spans="1:54" s="268" customFormat="1" ht="258.75" x14ac:dyDescent="0.2">
      <c r="A45" s="289">
        <v>21</v>
      </c>
      <c r="B45" s="289" t="s">
        <v>1463</v>
      </c>
      <c r="C45" s="274"/>
      <c r="D45" s="274" t="s">
        <v>1464</v>
      </c>
      <c r="E45" s="274" t="s">
        <v>1729</v>
      </c>
      <c r="F45" s="269" t="s">
        <v>631</v>
      </c>
      <c r="G45" s="269">
        <v>0</v>
      </c>
      <c r="H45" s="269" t="s">
        <v>1730</v>
      </c>
      <c r="I45" s="326" t="s">
        <v>1484</v>
      </c>
      <c r="J45" s="327" t="s">
        <v>1242</v>
      </c>
      <c r="K45" s="274" t="s">
        <v>1715</v>
      </c>
      <c r="L45" s="274" t="s">
        <v>1731</v>
      </c>
      <c r="M45" s="327" t="s">
        <v>1242</v>
      </c>
      <c r="N45" s="274" t="s">
        <v>1732</v>
      </c>
      <c r="O45" s="274" t="s">
        <v>1739</v>
      </c>
      <c r="P45" s="326" t="s">
        <v>1307</v>
      </c>
      <c r="Q45" s="326" t="s">
        <v>342</v>
      </c>
      <c r="R45" s="274" t="e">
        <f t="shared" si="40"/>
        <v>#REF!</v>
      </c>
      <c r="S45" s="326" t="s">
        <v>1490</v>
      </c>
      <c r="T45" s="331" t="s">
        <v>1740</v>
      </c>
      <c r="U45" s="303">
        <v>2</v>
      </c>
      <c r="V45" s="323" t="s">
        <v>187</v>
      </c>
      <c r="W45" s="324" t="s">
        <v>1492</v>
      </c>
      <c r="X45" s="324" t="s">
        <v>1493</v>
      </c>
      <c r="Y45" s="324" t="s">
        <v>1494</v>
      </c>
      <c r="Z45" s="324" t="s">
        <v>1495</v>
      </c>
      <c r="AA45" s="324" t="s">
        <v>1496</v>
      </c>
      <c r="AB45" s="324" t="s">
        <v>1497</v>
      </c>
      <c r="AC45" s="324" t="s">
        <v>1498</v>
      </c>
      <c r="AD45" s="271">
        <f t="shared" si="36"/>
        <v>15</v>
      </c>
      <c r="AE45" s="271">
        <f t="shared" si="37"/>
        <v>15</v>
      </c>
      <c r="AF45" s="271">
        <f t="shared" si="3"/>
        <v>15</v>
      </c>
      <c r="AG45" s="271">
        <f t="shared" si="4"/>
        <v>15</v>
      </c>
      <c r="AH45" s="271">
        <f t="shared" si="5"/>
        <v>15</v>
      </c>
      <c r="AI45" s="271">
        <f t="shared" si="6"/>
        <v>15</v>
      </c>
      <c r="AJ45" s="271">
        <f t="shared" si="7"/>
        <v>10</v>
      </c>
      <c r="AK45" s="271">
        <f t="shared" si="38"/>
        <v>100</v>
      </c>
      <c r="AL45" s="271" t="str">
        <f t="shared" si="13"/>
        <v>Fuerte</v>
      </c>
      <c r="AM45" s="324" t="s">
        <v>1499</v>
      </c>
      <c r="AN45" s="271" t="str">
        <f t="shared" si="14"/>
        <v>Fuerte</v>
      </c>
      <c r="AO45" s="271">
        <f t="shared" si="9"/>
        <v>100</v>
      </c>
      <c r="AP45" s="271" t="str">
        <f t="shared" si="15"/>
        <v>No</v>
      </c>
      <c r="AQ45" s="272">
        <f t="shared" si="34"/>
        <v>100</v>
      </c>
      <c r="AR45" s="272" t="str">
        <f t="shared" si="16"/>
        <v>Fuerte</v>
      </c>
      <c r="AS45" s="328" t="s">
        <v>1500</v>
      </c>
      <c r="AT45" s="328" t="s">
        <v>1500</v>
      </c>
      <c r="AU45" s="273">
        <f t="shared" si="17"/>
        <v>2</v>
      </c>
      <c r="AV45" s="273">
        <f t="shared" si="11"/>
        <v>0</v>
      </c>
      <c r="AW45" s="270" t="e">
        <f t="shared" si="39"/>
        <v>#REF!</v>
      </c>
      <c r="AX45" s="859"/>
      <c r="AY45" s="859"/>
      <c r="AZ45" s="859"/>
      <c r="BA45" s="861"/>
      <c r="BB45" s="859"/>
    </row>
    <row r="46" spans="1:54" s="268" customFormat="1" ht="279" customHeight="1" x14ac:dyDescent="0.2">
      <c r="A46" s="289">
        <v>22</v>
      </c>
      <c r="B46" s="289" t="s">
        <v>1465</v>
      </c>
      <c r="C46" s="274"/>
      <c r="D46" s="274" t="s">
        <v>1466</v>
      </c>
      <c r="E46" s="274" t="s">
        <v>1741</v>
      </c>
      <c r="F46" s="269" t="s">
        <v>631</v>
      </c>
      <c r="G46" s="269">
        <v>0</v>
      </c>
      <c r="H46" s="269" t="s">
        <v>1730</v>
      </c>
      <c r="I46" s="326" t="s">
        <v>1484</v>
      </c>
      <c r="J46" s="327" t="s">
        <v>1242</v>
      </c>
      <c r="K46" s="274" t="s">
        <v>1672</v>
      </c>
      <c r="L46" s="274" t="s">
        <v>1742</v>
      </c>
      <c r="M46" s="327" t="s">
        <v>1242</v>
      </c>
      <c r="N46" s="274" t="s">
        <v>1674</v>
      </c>
      <c r="O46" s="274" t="s">
        <v>1743</v>
      </c>
      <c r="P46" s="326" t="s">
        <v>1307</v>
      </c>
      <c r="Q46" s="326" t="s">
        <v>342</v>
      </c>
      <c r="R46" s="274" t="e">
        <f t="shared" si="40"/>
        <v>#REF!</v>
      </c>
      <c r="S46" s="326" t="s">
        <v>1490</v>
      </c>
      <c r="T46" s="402" t="s">
        <v>1744</v>
      </c>
      <c r="U46" s="303">
        <v>1</v>
      </c>
      <c r="V46" s="323" t="s">
        <v>187</v>
      </c>
      <c r="W46" s="324" t="s">
        <v>1492</v>
      </c>
      <c r="X46" s="324" t="s">
        <v>1493</v>
      </c>
      <c r="Y46" s="324" t="s">
        <v>1494</v>
      </c>
      <c r="Z46" s="324" t="s">
        <v>1495</v>
      </c>
      <c r="AA46" s="324" t="s">
        <v>1496</v>
      </c>
      <c r="AB46" s="324" t="s">
        <v>1497</v>
      </c>
      <c r="AC46" s="324" t="s">
        <v>1498</v>
      </c>
      <c r="AD46" s="271">
        <f t="shared" si="36"/>
        <v>15</v>
      </c>
      <c r="AE46" s="271">
        <f t="shared" si="37"/>
        <v>15</v>
      </c>
      <c r="AF46" s="271">
        <f t="shared" si="3"/>
        <v>15</v>
      </c>
      <c r="AG46" s="271">
        <f t="shared" si="4"/>
        <v>15</v>
      </c>
      <c r="AH46" s="271">
        <f t="shared" si="5"/>
        <v>15</v>
      </c>
      <c r="AI46" s="271">
        <f t="shared" si="6"/>
        <v>15</v>
      </c>
      <c r="AJ46" s="271">
        <f t="shared" si="7"/>
        <v>10</v>
      </c>
      <c r="AK46" s="271">
        <f t="shared" si="38"/>
        <v>100</v>
      </c>
      <c r="AL46" s="271" t="str">
        <f t="shared" si="13"/>
        <v>Fuerte</v>
      </c>
      <c r="AM46" s="324" t="s">
        <v>1499</v>
      </c>
      <c r="AN46" s="271" t="str">
        <f t="shared" si="14"/>
        <v>Fuerte</v>
      </c>
      <c r="AO46" s="271">
        <f t="shared" si="9"/>
        <v>100</v>
      </c>
      <c r="AP46" s="271" t="str">
        <f t="shared" si="15"/>
        <v>No</v>
      </c>
      <c r="AQ46" s="272">
        <f t="shared" si="34"/>
        <v>100</v>
      </c>
      <c r="AR46" s="272" t="str">
        <f t="shared" si="16"/>
        <v>Fuerte</v>
      </c>
      <c r="AS46" s="328" t="s">
        <v>1500</v>
      </c>
      <c r="AT46" s="328" t="s">
        <v>1500</v>
      </c>
      <c r="AU46" s="273">
        <f t="shared" si="17"/>
        <v>2</v>
      </c>
      <c r="AV46" s="273">
        <f t="shared" si="11"/>
        <v>0</v>
      </c>
      <c r="AW46" s="270" t="e">
        <f t="shared" si="39"/>
        <v>#REF!</v>
      </c>
      <c r="AX46" s="858" t="s">
        <v>1745</v>
      </c>
      <c r="AY46" s="858" t="s">
        <v>1736</v>
      </c>
      <c r="AZ46" s="858" t="s">
        <v>1737</v>
      </c>
      <c r="BA46" s="860">
        <v>46022</v>
      </c>
      <c r="BB46" s="858" t="s">
        <v>1738</v>
      </c>
    </row>
    <row r="47" spans="1:54" s="268" customFormat="1" ht="252" customHeight="1" x14ac:dyDescent="0.2">
      <c r="A47" s="289">
        <v>22</v>
      </c>
      <c r="B47" s="289" t="s">
        <v>1465</v>
      </c>
      <c r="C47" s="274"/>
      <c r="D47" s="274" t="s">
        <v>1466</v>
      </c>
      <c r="E47" s="274" t="s">
        <v>1741</v>
      </c>
      <c r="F47" s="269" t="s">
        <v>631</v>
      </c>
      <c r="G47" s="269">
        <v>0</v>
      </c>
      <c r="H47" s="269" t="s">
        <v>1730</v>
      </c>
      <c r="I47" s="326" t="s">
        <v>1484</v>
      </c>
      <c r="J47" s="327" t="s">
        <v>1242</v>
      </c>
      <c r="K47" s="274" t="s">
        <v>1672</v>
      </c>
      <c r="L47" s="274" t="s">
        <v>1742</v>
      </c>
      <c r="M47" s="327" t="s">
        <v>1242</v>
      </c>
      <c r="N47" s="274" t="s">
        <v>1674</v>
      </c>
      <c r="O47" s="274" t="s">
        <v>1743</v>
      </c>
      <c r="P47" s="326" t="s">
        <v>1307</v>
      </c>
      <c r="Q47" s="326" t="s">
        <v>342</v>
      </c>
      <c r="R47" s="274" t="e">
        <f t="shared" ref="R47" si="41">IF(OR(P47="",Q47=""),"",VLOOKUP(VALUE(CONCATENATE(VLOOKUP(Q47,TImpacto,2,FALSE),VLOOKUP(P47,TProbabilidad,2,FALSE))),TMapaCalor,2,FALSE))</f>
        <v>#REF!</v>
      </c>
      <c r="S47" s="326" t="s">
        <v>1490</v>
      </c>
      <c r="T47" s="592" t="s">
        <v>1746</v>
      </c>
      <c r="U47" s="303">
        <v>2</v>
      </c>
      <c r="V47" s="323" t="s">
        <v>187</v>
      </c>
      <c r="W47" s="324" t="s">
        <v>1492</v>
      </c>
      <c r="X47" s="324" t="s">
        <v>1493</v>
      </c>
      <c r="Y47" s="324" t="s">
        <v>1494</v>
      </c>
      <c r="Z47" s="324" t="s">
        <v>1495</v>
      </c>
      <c r="AA47" s="324" t="s">
        <v>1496</v>
      </c>
      <c r="AB47" s="324" t="s">
        <v>1497</v>
      </c>
      <c r="AC47" s="324" t="s">
        <v>1498</v>
      </c>
      <c r="AD47" s="271">
        <f t="shared" si="36"/>
        <v>15</v>
      </c>
      <c r="AE47" s="271">
        <f t="shared" si="37"/>
        <v>15</v>
      </c>
      <c r="AF47" s="271">
        <f t="shared" si="3"/>
        <v>15</v>
      </c>
      <c r="AG47" s="271">
        <f t="shared" si="4"/>
        <v>15</v>
      </c>
      <c r="AH47" s="271">
        <f t="shared" si="5"/>
        <v>15</v>
      </c>
      <c r="AI47" s="271">
        <f t="shared" si="6"/>
        <v>15</v>
      </c>
      <c r="AJ47" s="271">
        <f t="shared" si="7"/>
        <v>10</v>
      </c>
      <c r="AK47" s="271">
        <f t="shared" si="38"/>
        <v>100</v>
      </c>
      <c r="AL47" s="271" t="str">
        <f t="shared" si="13"/>
        <v>Fuerte</v>
      </c>
      <c r="AM47" s="324" t="s">
        <v>1499</v>
      </c>
      <c r="AN47" s="271" t="str">
        <f t="shared" si="14"/>
        <v>Fuerte</v>
      </c>
      <c r="AO47" s="271">
        <f t="shared" si="9"/>
        <v>100</v>
      </c>
      <c r="AP47" s="271" t="str">
        <f t="shared" si="15"/>
        <v>No</v>
      </c>
      <c r="AQ47" s="272">
        <f t="shared" si="34"/>
        <v>100</v>
      </c>
      <c r="AR47" s="272" t="str">
        <f t="shared" si="16"/>
        <v>Fuerte</v>
      </c>
      <c r="AS47" s="328" t="s">
        <v>1500</v>
      </c>
      <c r="AT47" s="328" t="s">
        <v>1500</v>
      </c>
      <c r="AU47" s="273">
        <f t="shared" si="17"/>
        <v>2</v>
      </c>
      <c r="AV47" s="273">
        <f t="shared" si="11"/>
        <v>0</v>
      </c>
      <c r="AW47" s="270" t="e">
        <f t="shared" si="39"/>
        <v>#REF!</v>
      </c>
      <c r="AX47" s="859"/>
      <c r="AY47" s="859"/>
      <c r="AZ47" s="859"/>
      <c r="BA47" s="861"/>
      <c r="BB47" s="859"/>
    </row>
    <row r="48" spans="1:54" ht="231" customHeight="1" x14ac:dyDescent="0.2">
      <c r="A48" s="381">
        <v>23</v>
      </c>
      <c r="B48" s="381" t="s">
        <v>1467</v>
      </c>
      <c r="C48" s="382"/>
      <c r="D48" s="382" t="s">
        <v>1468</v>
      </c>
      <c r="E48" s="382" t="s">
        <v>1747</v>
      </c>
      <c r="F48" s="383" t="s">
        <v>521</v>
      </c>
      <c r="G48" s="383">
        <v>0</v>
      </c>
      <c r="H48" s="383">
        <v>0</v>
      </c>
      <c r="I48" s="384" t="s">
        <v>1484</v>
      </c>
      <c r="J48" s="385" t="s">
        <v>1242</v>
      </c>
      <c r="K48" s="382" t="s">
        <v>1715</v>
      </c>
      <c r="L48" s="382" t="s">
        <v>1731</v>
      </c>
      <c r="M48" s="385" t="s">
        <v>1242</v>
      </c>
      <c r="N48" s="382" t="s">
        <v>1748</v>
      </c>
      <c r="O48" s="382" t="s">
        <v>1749</v>
      </c>
      <c r="P48" s="384" t="s">
        <v>1307</v>
      </c>
      <c r="Q48" s="384" t="s">
        <v>281</v>
      </c>
      <c r="R48" s="382" t="e">
        <f t="shared" si="40"/>
        <v>#REF!</v>
      </c>
      <c r="S48" s="384" t="s">
        <v>1490</v>
      </c>
      <c r="T48" s="621" t="s">
        <v>1750</v>
      </c>
      <c r="U48" s="386">
        <v>1</v>
      </c>
      <c r="V48" s="387" t="s">
        <v>187</v>
      </c>
      <c r="W48" s="388" t="s">
        <v>1492</v>
      </c>
      <c r="X48" s="388" t="s">
        <v>1493</v>
      </c>
      <c r="Y48" s="388" t="s">
        <v>1494</v>
      </c>
      <c r="Z48" s="388" t="s">
        <v>1495</v>
      </c>
      <c r="AA48" s="388" t="s">
        <v>1496</v>
      </c>
      <c r="AB48" s="388" t="s">
        <v>1497</v>
      </c>
      <c r="AC48" s="388" t="s">
        <v>1498</v>
      </c>
      <c r="AD48" s="389">
        <f t="shared" si="36"/>
        <v>15</v>
      </c>
      <c r="AE48" s="389">
        <f t="shared" si="37"/>
        <v>15</v>
      </c>
      <c r="AF48" s="389">
        <f t="shared" si="3"/>
        <v>15</v>
      </c>
      <c r="AG48" s="389">
        <f t="shared" si="4"/>
        <v>15</v>
      </c>
      <c r="AH48" s="389">
        <f t="shared" si="5"/>
        <v>15</v>
      </c>
      <c r="AI48" s="389">
        <f t="shared" si="6"/>
        <v>15</v>
      </c>
      <c r="AJ48" s="389">
        <f t="shared" si="7"/>
        <v>10</v>
      </c>
      <c r="AK48" s="389">
        <f t="shared" si="38"/>
        <v>100</v>
      </c>
      <c r="AL48" s="389" t="str">
        <f t="shared" si="13"/>
        <v>Fuerte</v>
      </c>
      <c r="AM48" s="388" t="s">
        <v>1499</v>
      </c>
      <c r="AN48" s="389" t="str">
        <f t="shared" si="14"/>
        <v>Fuerte</v>
      </c>
      <c r="AO48" s="389">
        <f t="shared" si="9"/>
        <v>100</v>
      </c>
      <c r="AP48" s="389" t="str">
        <f t="shared" si="15"/>
        <v>No</v>
      </c>
      <c r="AQ48" s="390">
        <f t="shared" si="34"/>
        <v>100</v>
      </c>
      <c r="AR48" s="390" t="str">
        <f t="shared" si="16"/>
        <v>Fuerte</v>
      </c>
      <c r="AS48" s="391" t="s">
        <v>1500</v>
      </c>
      <c r="AT48" s="391" t="s">
        <v>1500</v>
      </c>
      <c r="AU48" s="392">
        <f t="shared" si="17"/>
        <v>2</v>
      </c>
      <c r="AV48" s="392">
        <f t="shared" si="11"/>
        <v>0</v>
      </c>
      <c r="AW48" s="393" t="e">
        <f t="shared" si="39"/>
        <v>#REF!</v>
      </c>
      <c r="AX48" s="394" t="s">
        <v>1751</v>
      </c>
      <c r="AY48" s="395" t="s">
        <v>1752</v>
      </c>
      <c r="AZ48" s="374" t="s">
        <v>1753</v>
      </c>
      <c r="BA48" s="396">
        <v>46022</v>
      </c>
      <c r="BB48" s="397" t="s">
        <v>1754</v>
      </c>
    </row>
    <row r="49" spans="1:54" s="268" customFormat="1" ht="157.5" x14ac:dyDescent="0.2">
      <c r="A49" s="289">
        <v>24</v>
      </c>
      <c r="B49" s="289" t="s">
        <v>1469</v>
      </c>
      <c r="C49" s="274"/>
      <c r="D49" s="274" t="s">
        <v>1470</v>
      </c>
      <c r="E49" s="274" t="s">
        <v>1755</v>
      </c>
      <c r="F49" s="269" t="s">
        <v>383</v>
      </c>
      <c r="G49" s="269">
        <v>0</v>
      </c>
      <c r="H49" s="269">
        <v>0</v>
      </c>
      <c r="I49" s="326" t="s">
        <v>1484</v>
      </c>
      <c r="J49" s="327" t="s">
        <v>1242</v>
      </c>
      <c r="K49" s="274" t="s">
        <v>1486</v>
      </c>
      <c r="L49" s="274" t="s">
        <v>1756</v>
      </c>
      <c r="M49" s="327" t="s">
        <v>1242</v>
      </c>
      <c r="N49" s="274" t="s">
        <v>1757</v>
      </c>
      <c r="O49" s="274" t="s">
        <v>1719</v>
      </c>
      <c r="P49" s="326" t="s">
        <v>1306</v>
      </c>
      <c r="Q49" s="326" t="s">
        <v>342</v>
      </c>
      <c r="R49" s="274" t="e">
        <f t="shared" si="40"/>
        <v>#REF!</v>
      </c>
      <c r="S49" s="326" t="s">
        <v>1490</v>
      </c>
      <c r="T49" s="322" t="s">
        <v>1758</v>
      </c>
      <c r="U49" s="303">
        <v>1</v>
      </c>
      <c r="V49" s="323" t="s">
        <v>187</v>
      </c>
      <c r="W49" s="324" t="s">
        <v>1492</v>
      </c>
      <c r="X49" s="324" t="s">
        <v>1493</v>
      </c>
      <c r="Y49" s="324" t="s">
        <v>1494</v>
      </c>
      <c r="Z49" s="324" t="s">
        <v>1495</v>
      </c>
      <c r="AA49" s="324" t="s">
        <v>1496</v>
      </c>
      <c r="AB49" s="324" t="s">
        <v>1497</v>
      </c>
      <c r="AC49" s="324" t="s">
        <v>1498</v>
      </c>
      <c r="AD49" s="271">
        <f t="shared" si="36"/>
        <v>15</v>
      </c>
      <c r="AE49" s="271">
        <f t="shared" si="37"/>
        <v>15</v>
      </c>
      <c r="AF49" s="271">
        <f t="shared" si="3"/>
        <v>15</v>
      </c>
      <c r="AG49" s="271">
        <f t="shared" si="4"/>
        <v>15</v>
      </c>
      <c r="AH49" s="271">
        <f t="shared" si="5"/>
        <v>15</v>
      </c>
      <c r="AI49" s="271">
        <f t="shared" si="6"/>
        <v>15</v>
      </c>
      <c r="AJ49" s="271">
        <f t="shared" si="7"/>
        <v>10</v>
      </c>
      <c r="AK49" s="271">
        <f t="shared" si="38"/>
        <v>100</v>
      </c>
      <c r="AL49" s="271" t="str">
        <f t="shared" si="13"/>
        <v>Fuerte</v>
      </c>
      <c r="AM49" s="324" t="s">
        <v>1499</v>
      </c>
      <c r="AN49" s="271" t="str">
        <f t="shared" si="14"/>
        <v>Fuerte</v>
      </c>
      <c r="AO49" s="271">
        <f t="shared" si="9"/>
        <v>100</v>
      </c>
      <c r="AP49" s="271" t="str">
        <f t="shared" si="15"/>
        <v>No</v>
      </c>
      <c r="AQ49" s="273">
        <f t="shared" si="34"/>
        <v>100</v>
      </c>
      <c r="AR49" s="272" t="str">
        <f t="shared" si="16"/>
        <v>Fuerte</v>
      </c>
      <c r="AS49" s="328" t="s">
        <v>1500</v>
      </c>
      <c r="AT49" s="328" t="s">
        <v>1500</v>
      </c>
      <c r="AU49" s="273">
        <f t="shared" si="17"/>
        <v>2</v>
      </c>
      <c r="AV49" s="273">
        <f t="shared" si="11"/>
        <v>0</v>
      </c>
      <c r="AW49" s="270" t="e">
        <f t="shared" si="39"/>
        <v>#REF!</v>
      </c>
      <c r="AX49" s="858"/>
      <c r="AY49" s="858"/>
      <c r="AZ49" s="858"/>
      <c r="BA49" s="860"/>
      <c r="BB49" s="858" t="s">
        <v>1759</v>
      </c>
    </row>
    <row r="50" spans="1:54" s="268" customFormat="1" ht="213.75" x14ac:dyDescent="0.2">
      <c r="A50" s="289">
        <v>24</v>
      </c>
      <c r="B50" s="289" t="s">
        <v>1469</v>
      </c>
      <c r="C50" s="274"/>
      <c r="D50" s="274" t="s">
        <v>1470</v>
      </c>
      <c r="E50" s="274" t="s">
        <v>1755</v>
      </c>
      <c r="F50" s="269" t="s">
        <v>383</v>
      </c>
      <c r="G50" s="269">
        <v>0</v>
      </c>
      <c r="H50" s="269">
        <v>0</v>
      </c>
      <c r="I50" s="326" t="s">
        <v>1484</v>
      </c>
      <c r="J50" s="327" t="s">
        <v>1242</v>
      </c>
      <c r="K50" s="274" t="s">
        <v>1486</v>
      </c>
      <c r="L50" s="274" t="s">
        <v>1756</v>
      </c>
      <c r="M50" s="327" t="s">
        <v>1242</v>
      </c>
      <c r="N50" s="274" t="s">
        <v>1757</v>
      </c>
      <c r="O50" s="274" t="s">
        <v>1719</v>
      </c>
      <c r="P50" s="326" t="s">
        <v>1306</v>
      </c>
      <c r="Q50" s="326" t="s">
        <v>342</v>
      </c>
      <c r="R50" s="274" t="e">
        <f t="shared" si="40"/>
        <v>#REF!</v>
      </c>
      <c r="S50" s="326" t="s">
        <v>1490</v>
      </c>
      <c r="T50" s="322" t="s">
        <v>1760</v>
      </c>
      <c r="U50" s="303">
        <v>2</v>
      </c>
      <c r="V50" s="323" t="s">
        <v>187</v>
      </c>
      <c r="W50" s="324" t="s">
        <v>1492</v>
      </c>
      <c r="X50" s="324" t="s">
        <v>1493</v>
      </c>
      <c r="Y50" s="324" t="s">
        <v>1494</v>
      </c>
      <c r="Z50" s="324" t="s">
        <v>1495</v>
      </c>
      <c r="AA50" s="324" t="s">
        <v>1496</v>
      </c>
      <c r="AB50" s="324" t="s">
        <v>1497</v>
      </c>
      <c r="AC50" s="324" t="s">
        <v>1498</v>
      </c>
      <c r="AD50" s="271">
        <f t="shared" si="36"/>
        <v>15</v>
      </c>
      <c r="AE50" s="271">
        <f t="shared" si="37"/>
        <v>15</v>
      </c>
      <c r="AF50" s="271">
        <f t="shared" si="3"/>
        <v>15</v>
      </c>
      <c r="AG50" s="271">
        <f t="shared" si="4"/>
        <v>15</v>
      </c>
      <c r="AH50" s="271">
        <f t="shared" si="5"/>
        <v>15</v>
      </c>
      <c r="AI50" s="271">
        <f t="shared" si="6"/>
        <v>15</v>
      </c>
      <c r="AJ50" s="271">
        <f t="shared" si="7"/>
        <v>10</v>
      </c>
      <c r="AK50" s="271">
        <f t="shared" si="38"/>
        <v>100</v>
      </c>
      <c r="AL50" s="271" t="str">
        <f t="shared" si="13"/>
        <v>Fuerte</v>
      </c>
      <c r="AM50" s="324" t="s">
        <v>1499</v>
      </c>
      <c r="AN50" s="271" t="str">
        <f t="shared" si="14"/>
        <v>Fuerte</v>
      </c>
      <c r="AO50" s="271">
        <f t="shared" si="9"/>
        <v>100</v>
      </c>
      <c r="AP50" s="271" t="str">
        <f t="shared" si="15"/>
        <v>No</v>
      </c>
      <c r="AQ50" s="273">
        <f t="shared" si="34"/>
        <v>100</v>
      </c>
      <c r="AR50" s="272" t="str">
        <f t="shared" si="16"/>
        <v>Fuerte</v>
      </c>
      <c r="AS50" s="328" t="s">
        <v>1500</v>
      </c>
      <c r="AT50" s="328" t="s">
        <v>1500</v>
      </c>
      <c r="AU50" s="273">
        <f t="shared" si="17"/>
        <v>2</v>
      </c>
      <c r="AV50" s="273">
        <f t="shared" si="11"/>
        <v>0</v>
      </c>
      <c r="AW50" s="270" t="e">
        <f t="shared" si="39"/>
        <v>#REF!</v>
      </c>
      <c r="AX50" s="868"/>
      <c r="AY50" s="868"/>
      <c r="AZ50" s="868"/>
      <c r="BA50" s="869"/>
      <c r="BB50" s="868"/>
    </row>
    <row r="51" spans="1:54" s="268" customFormat="1" ht="202.5" x14ac:dyDescent="0.2">
      <c r="A51" s="289">
        <v>24</v>
      </c>
      <c r="B51" s="289" t="s">
        <v>1469</v>
      </c>
      <c r="C51" s="274"/>
      <c r="D51" s="274" t="s">
        <v>1470</v>
      </c>
      <c r="E51" s="274" t="s">
        <v>1755</v>
      </c>
      <c r="F51" s="269" t="s">
        <v>383</v>
      </c>
      <c r="G51" s="269">
        <v>0</v>
      </c>
      <c r="H51" s="269">
        <v>0</v>
      </c>
      <c r="I51" s="326" t="s">
        <v>1484</v>
      </c>
      <c r="J51" s="327" t="s">
        <v>1242</v>
      </c>
      <c r="K51" s="274" t="s">
        <v>1486</v>
      </c>
      <c r="L51" s="274" t="s">
        <v>1756</v>
      </c>
      <c r="M51" s="327" t="s">
        <v>1242</v>
      </c>
      <c r="N51" s="274" t="s">
        <v>1757</v>
      </c>
      <c r="O51" s="274" t="s">
        <v>1719</v>
      </c>
      <c r="P51" s="326" t="s">
        <v>1306</v>
      </c>
      <c r="Q51" s="326" t="s">
        <v>342</v>
      </c>
      <c r="R51" s="274" t="e">
        <f t="shared" si="40"/>
        <v>#REF!</v>
      </c>
      <c r="S51" s="326" t="s">
        <v>1490</v>
      </c>
      <c r="T51" s="322" t="s">
        <v>1761</v>
      </c>
      <c r="U51" s="303">
        <v>3</v>
      </c>
      <c r="V51" s="323" t="s">
        <v>187</v>
      </c>
      <c r="W51" s="324" t="s">
        <v>1492</v>
      </c>
      <c r="X51" s="324" t="s">
        <v>1493</v>
      </c>
      <c r="Y51" s="324" t="s">
        <v>1494</v>
      </c>
      <c r="Z51" s="324" t="s">
        <v>1495</v>
      </c>
      <c r="AA51" s="324" t="s">
        <v>1496</v>
      </c>
      <c r="AB51" s="324" t="s">
        <v>1497</v>
      </c>
      <c r="AC51" s="324" t="s">
        <v>1498</v>
      </c>
      <c r="AD51" s="271">
        <f t="shared" si="36"/>
        <v>15</v>
      </c>
      <c r="AE51" s="271">
        <f t="shared" si="37"/>
        <v>15</v>
      </c>
      <c r="AF51" s="271">
        <f t="shared" si="3"/>
        <v>15</v>
      </c>
      <c r="AG51" s="271">
        <f t="shared" si="4"/>
        <v>15</v>
      </c>
      <c r="AH51" s="271">
        <f t="shared" si="5"/>
        <v>15</v>
      </c>
      <c r="AI51" s="271">
        <f t="shared" si="6"/>
        <v>15</v>
      </c>
      <c r="AJ51" s="271">
        <f t="shared" si="7"/>
        <v>10</v>
      </c>
      <c r="AK51" s="271">
        <f t="shared" si="38"/>
        <v>100</v>
      </c>
      <c r="AL51" s="271" t="str">
        <f t="shared" si="13"/>
        <v>Fuerte</v>
      </c>
      <c r="AM51" s="324" t="s">
        <v>1499</v>
      </c>
      <c r="AN51" s="271" t="str">
        <f t="shared" si="14"/>
        <v>Fuerte</v>
      </c>
      <c r="AO51" s="271">
        <f t="shared" si="9"/>
        <v>100</v>
      </c>
      <c r="AP51" s="271" t="str">
        <f t="shared" si="15"/>
        <v>No</v>
      </c>
      <c r="AQ51" s="273">
        <f t="shared" si="34"/>
        <v>100</v>
      </c>
      <c r="AR51" s="272" t="str">
        <f t="shared" si="16"/>
        <v>Fuerte</v>
      </c>
      <c r="AS51" s="328" t="s">
        <v>1500</v>
      </c>
      <c r="AT51" s="328" t="s">
        <v>1500</v>
      </c>
      <c r="AU51" s="273">
        <f t="shared" si="17"/>
        <v>2</v>
      </c>
      <c r="AV51" s="273">
        <f t="shared" si="11"/>
        <v>0</v>
      </c>
      <c r="AW51" s="270" t="e">
        <f t="shared" si="39"/>
        <v>#REF!</v>
      </c>
      <c r="AX51" s="859"/>
      <c r="AY51" s="859"/>
      <c r="AZ51" s="859"/>
      <c r="BA51" s="861"/>
      <c r="BB51" s="859"/>
    </row>
    <row r="52" spans="1:54" s="268" customFormat="1" ht="213.75" x14ac:dyDescent="0.2">
      <c r="A52" s="289">
        <v>25</v>
      </c>
      <c r="B52" s="289" t="s">
        <v>1471</v>
      </c>
      <c r="C52" s="274"/>
      <c r="D52" s="274" t="s">
        <v>1472</v>
      </c>
      <c r="E52" s="274" t="s">
        <v>1762</v>
      </c>
      <c r="F52" s="269" t="s">
        <v>177</v>
      </c>
      <c r="G52" s="269">
        <v>0</v>
      </c>
      <c r="H52" s="269">
        <v>0</v>
      </c>
      <c r="I52" s="326" t="s">
        <v>1484</v>
      </c>
      <c r="J52" s="327" t="s">
        <v>1242</v>
      </c>
      <c r="K52" s="274" t="s">
        <v>1486</v>
      </c>
      <c r="L52" s="274" t="s">
        <v>1756</v>
      </c>
      <c r="M52" s="327" t="s">
        <v>1242</v>
      </c>
      <c r="N52" s="274" t="s">
        <v>1763</v>
      </c>
      <c r="O52" s="274" t="s">
        <v>1764</v>
      </c>
      <c r="P52" s="326" t="s">
        <v>1306</v>
      </c>
      <c r="Q52" s="326" t="s">
        <v>342</v>
      </c>
      <c r="R52" s="274" t="e">
        <f t="shared" si="40"/>
        <v>#REF!</v>
      </c>
      <c r="S52" s="326" t="s">
        <v>1490</v>
      </c>
      <c r="T52" s="322" t="s">
        <v>1765</v>
      </c>
      <c r="U52" s="303">
        <v>1</v>
      </c>
      <c r="V52" s="323" t="s">
        <v>187</v>
      </c>
      <c r="W52" s="324" t="s">
        <v>1492</v>
      </c>
      <c r="X52" s="324" t="s">
        <v>1493</v>
      </c>
      <c r="Y52" s="324" t="s">
        <v>1494</v>
      </c>
      <c r="Z52" s="324" t="s">
        <v>1495</v>
      </c>
      <c r="AA52" s="324" t="s">
        <v>1496</v>
      </c>
      <c r="AB52" s="324" t="s">
        <v>1497</v>
      </c>
      <c r="AC52" s="324" t="s">
        <v>1498</v>
      </c>
      <c r="AD52" s="271">
        <f t="shared" si="36"/>
        <v>15</v>
      </c>
      <c r="AE52" s="271">
        <f t="shared" si="37"/>
        <v>15</v>
      </c>
      <c r="AF52" s="271">
        <f t="shared" si="3"/>
        <v>15</v>
      </c>
      <c r="AG52" s="271">
        <f t="shared" si="4"/>
        <v>15</v>
      </c>
      <c r="AH52" s="271">
        <f t="shared" si="5"/>
        <v>15</v>
      </c>
      <c r="AI52" s="271">
        <f t="shared" si="6"/>
        <v>15</v>
      </c>
      <c r="AJ52" s="271">
        <f t="shared" si="7"/>
        <v>10</v>
      </c>
      <c r="AK52" s="271">
        <f t="shared" si="38"/>
        <v>100</v>
      </c>
      <c r="AL52" s="271" t="str">
        <f t="shared" si="13"/>
        <v>Fuerte</v>
      </c>
      <c r="AM52" s="324" t="s">
        <v>1499</v>
      </c>
      <c r="AN52" s="271" t="str">
        <f t="shared" si="14"/>
        <v>Fuerte</v>
      </c>
      <c r="AO52" s="271">
        <f t="shared" si="9"/>
        <v>100</v>
      </c>
      <c r="AP52" s="271" t="str">
        <f t="shared" si="15"/>
        <v>No</v>
      </c>
      <c r="AQ52" s="272">
        <f t="shared" si="34"/>
        <v>100</v>
      </c>
      <c r="AR52" s="272" t="str">
        <f t="shared" si="16"/>
        <v>Fuerte</v>
      </c>
      <c r="AS52" s="328" t="s">
        <v>1500</v>
      </c>
      <c r="AT52" s="328" t="s">
        <v>1500</v>
      </c>
      <c r="AU52" s="273">
        <f t="shared" si="17"/>
        <v>2</v>
      </c>
      <c r="AV52" s="273">
        <f t="shared" si="11"/>
        <v>0</v>
      </c>
      <c r="AW52" s="270" t="e">
        <f t="shared" si="39"/>
        <v>#REF!</v>
      </c>
      <c r="AX52" s="325" t="s">
        <v>1766</v>
      </c>
      <c r="AY52" s="325" t="s">
        <v>1767</v>
      </c>
      <c r="AZ52" s="325" t="s">
        <v>1768</v>
      </c>
      <c r="BA52" s="329">
        <v>46022</v>
      </c>
      <c r="BB52" s="330" t="s">
        <v>1769</v>
      </c>
    </row>
    <row r="53" spans="1:54" s="268" customFormat="1" ht="213.75" x14ac:dyDescent="0.2">
      <c r="A53" s="289">
        <v>25</v>
      </c>
      <c r="B53" s="289" t="s">
        <v>1471</v>
      </c>
      <c r="C53" s="274"/>
      <c r="D53" s="274" t="s">
        <v>1472</v>
      </c>
      <c r="E53" s="274" t="s">
        <v>1762</v>
      </c>
      <c r="F53" s="269" t="s">
        <v>177</v>
      </c>
      <c r="G53" s="269">
        <v>0</v>
      </c>
      <c r="H53" s="269">
        <v>0</v>
      </c>
      <c r="I53" s="326" t="s">
        <v>1484</v>
      </c>
      <c r="J53" s="327" t="s">
        <v>1242</v>
      </c>
      <c r="K53" s="274" t="s">
        <v>1486</v>
      </c>
      <c r="L53" s="274" t="s">
        <v>1756</v>
      </c>
      <c r="M53" s="327" t="s">
        <v>1242</v>
      </c>
      <c r="N53" s="274" t="s">
        <v>1763</v>
      </c>
      <c r="O53" s="274" t="s">
        <v>1764</v>
      </c>
      <c r="P53" s="326" t="s">
        <v>1306</v>
      </c>
      <c r="Q53" s="326" t="s">
        <v>342</v>
      </c>
      <c r="R53" s="274" t="e">
        <f t="shared" si="40"/>
        <v>#REF!</v>
      </c>
      <c r="S53" s="326" t="s">
        <v>1490</v>
      </c>
      <c r="T53" s="322" t="s">
        <v>1770</v>
      </c>
      <c r="U53" s="303">
        <v>2</v>
      </c>
      <c r="V53" s="323" t="s">
        <v>228</v>
      </c>
      <c r="W53" s="324" t="s">
        <v>1492</v>
      </c>
      <c r="X53" s="324" t="s">
        <v>1493</v>
      </c>
      <c r="Y53" s="324" t="s">
        <v>1494</v>
      </c>
      <c r="Z53" s="324" t="s">
        <v>1548</v>
      </c>
      <c r="AA53" s="324" t="s">
        <v>1496</v>
      </c>
      <c r="AB53" s="324" t="s">
        <v>1497</v>
      </c>
      <c r="AC53" s="324" t="s">
        <v>1498</v>
      </c>
      <c r="AD53" s="271">
        <f t="shared" si="36"/>
        <v>15</v>
      </c>
      <c r="AE53" s="271">
        <f t="shared" si="37"/>
        <v>15</v>
      </c>
      <c r="AF53" s="271">
        <f t="shared" si="3"/>
        <v>15</v>
      </c>
      <c r="AG53" s="271">
        <f t="shared" si="4"/>
        <v>10</v>
      </c>
      <c r="AH53" s="271">
        <f t="shared" si="5"/>
        <v>15</v>
      </c>
      <c r="AI53" s="271">
        <f t="shared" si="6"/>
        <v>15</v>
      </c>
      <c r="AJ53" s="271">
        <f t="shared" si="7"/>
        <v>10</v>
      </c>
      <c r="AK53" s="271">
        <f t="shared" si="38"/>
        <v>95</v>
      </c>
      <c r="AL53" s="271" t="str">
        <f t="shared" si="13"/>
        <v>Moderado</v>
      </c>
      <c r="AM53" s="324" t="s">
        <v>1499</v>
      </c>
      <c r="AN53" s="271" t="str">
        <f t="shared" si="14"/>
        <v>Moderado</v>
      </c>
      <c r="AO53" s="271">
        <f t="shared" si="9"/>
        <v>50</v>
      </c>
      <c r="AP53" s="271" t="str">
        <f t="shared" si="15"/>
        <v>Si</v>
      </c>
      <c r="AQ53" s="272">
        <f t="shared" si="34"/>
        <v>50</v>
      </c>
      <c r="AR53" s="272" t="str">
        <f t="shared" si="16"/>
        <v>Moderado</v>
      </c>
      <c r="AS53" s="328" t="s">
        <v>1500</v>
      </c>
      <c r="AT53" s="328" t="s">
        <v>1500</v>
      </c>
      <c r="AU53" s="273">
        <f t="shared" si="17"/>
        <v>1</v>
      </c>
      <c r="AV53" s="273">
        <f t="shared" si="11"/>
        <v>0</v>
      </c>
      <c r="AW53" s="270" t="e">
        <f t="shared" si="39"/>
        <v>#REF!</v>
      </c>
      <c r="AX53" s="325" t="s">
        <v>1771</v>
      </c>
      <c r="AY53" s="325" t="s">
        <v>1767</v>
      </c>
      <c r="AZ53" s="325" t="s">
        <v>1768</v>
      </c>
      <c r="BA53" s="329">
        <v>46022</v>
      </c>
      <c r="BB53" s="330" t="s">
        <v>1769</v>
      </c>
    </row>
    <row r="54" spans="1:54" s="268" customFormat="1" ht="213.75" x14ac:dyDescent="0.2">
      <c r="A54" s="289">
        <v>26</v>
      </c>
      <c r="B54" s="289" t="s">
        <v>1473</v>
      </c>
      <c r="C54" s="274"/>
      <c r="D54" s="274" t="s">
        <v>1474</v>
      </c>
      <c r="E54" s="274" t="s">
        <v>1772</v>
      </c>
      <c r="F54" s="269" t="s">
        <v>177</v>
      </c>
      <c r="G54" s="269">
        <v>0</v>
      </c>
      <c r="H54" s="269">
        <v>0</v>
      </c>
      <c r="I54" s="326" t="s">
        <v>1484</v>
      </c>
      <c r="J54" s="327" t="s">
        <v>1242</v>
      </c>
      <c r="K54" s="274" t="s">
        <v>1486</v>
      </c>
      <c r="L54" s="274" t="s">
        <v>1756</v>
      </c>
      <c r="M54" s="327" t="s">
        <v>1242</v>
      </c>
      <c r="N54" s="274" t="s">
        <v>1763</v>
      </c>
      <c r="O54" s="274" t="s">
        <v>1764</v>
      </c>
      <c r="P54" s="326" t="s">
        <v>1306</v>
      </c>
      <c r="Q54" s="326" t="s">
        <v>342</v>
      </c>
      <c r="R54" s="274" t="e">
        <f t="shared" si="40"/>
        <v>#REF!</v>
      </c>
      <c r="S54" s="326" t="s">
        <v>1490</v>
      </c>
      <c r="T54" s="322" t="s">
        <v>1765</v>
      </c>
      <c r="U54" s="303">
        <v>1</v>
      </c>
      <c r="V54" s="323" t="s">
        <v>187</v>
      </c>
      <c r="W54" s="324" t="s">
        <v>1492</v>
      </c>
      <c r="X54" s="324" t="s">
        <v>1493</v>
      </c>
      <c r="Y54" s="324" t="s">
        <v>1494</v>
      </c>
      <c r="Z54" s="324" t="s">
        <v>1495</v>
      </c>
      <c r="AA54" s="324" t="s">
        <v>1496</v>
      </c>
      <c r="AB54" s="324" t="s">
        <v>1497</v>
      </c>
      <c r="AC54" s="324" t="s">
        <v>1498</v>
      </c>
      <c r="AD54" s="271">
        <f t="shared" si="36"/>
        <v>15</v>
      </c>
      <c r="AE54" s="271">
        <f t="shared" si="37"/>
        <v>15</v>
      </c>
      <c r="AF54" s="271">
        <f t="shared" si="3"/>
        <v>15</v>
      </c>
      <c r="AG54" s="271">
        <f t="shared" si="4"/>
        <v>15</v>
      </c>
      <c r="AH54" s="271">
        <f t="shared" si="5"/>
        <v>15</v>
      </c>
      <c r="AI54" s="271">
        <f t="shared" si="6"/>
        <v>15</v>
      </c>
      <c r="AJ54" s="271">
        <f t="shared" si="7"/>
        <v>10</v>
      </c>
      <c r="AK54" s="271">
        <f t="shared" si="38"/>
        <v>100</v>
      </c>
      <c r="AL54" s="271" t="str">
        <f t="shared" si="13"/>
        <v>Fuerte</v>
      </c>
      <c r="AM54" s="324" t="s">
        <v>1499</v>
      </c>
      <c r="AN54" s="271" t="str">
        <f t="shared" si="14"/>
        <v>Fuerte</v>
      </c>
      <c r="AO54" s="271">
        <f t="shared" si="9"/>
        <v>100</v>
      </c>
      <c r="AP54" s="271" t="str">
        <f t="shared" si="15"/>
        <v>No</v>
      </c>
      <c r="AQ54" s="272">
        <f t="shared" si="34"/>
        <v>100</v>
      </c>
      <c r="AR54" s="272" t="str">
        <f t="shared" si="16"/>
        <v>Fuerte</v>
      </c>
      <c r="AS54" s="328" t="s">
        <v>1500</v>
      </c>
      <c r="AT54" s="328" t="s">
        <v>1500</v>
      </c>
      <c r="AU54" s="273">
        <f t="shared" si="17"/>
        <v>2</v>
      </c>
      <c r="AV54" s="273">
        <f t="shared" si="11"/>
        <v>0</v>
      </c>
      <c r="AW54" s="270" t="e">
        <f t="shared" si="39"/>
        <v>#REF!</v>
      </c>
      <c r="AX54" s="325" t="s">
        <v>1766</v>
      </c>
      <c r="AY54" s="325" t="s">
        <v>1767</v>
      </c>
      <c r="AZ54" s="325" t="s">
        <v>1768</v>
      </c>
      <c r="BA54" s="329">
        <v>46022</v>
      </c>
      <c r="BB54" s="330" t="s">
        <v>1773</v>
      </c>
    </row>
    <row r="55" spans="1:54" s="268" customFormat="1" ht="202.5" x14ac:dyDescent="0.2">
      <c r="A55" s="289">
        <v>26</v>
      </c>
      <c r="B55" s="289" t="s">
        <v>1473</v>
      </c>
      <c r="C55" s="274"/>
      <c r="D55" s="274" t="s">
        <v>1474</v>
      </c>
      <c r="E55" s="274" t="s">
        <v>1772</v>
      </c>
      <c r="F55" s="269" t="s">
        <v>177</v>
      </c>
      <c r="G55" s="269">
        <v>0</v>
      </c>
      <c r="H55" s="269">
        <v>0</v>
      </c>
      <c r="I55" s="326" t="s">
        <v>1484</v>
      </c>
      <c r="J55" s="327" t="s">
        <v>1242</v>
      </c>
      <c r="K55" s="274" t="s">
        <v>1486</v>
      </c>
      <c r="L55" s="274" t="s">
        <v>1756</v>
      </c>
      <c r="M55" s="327" t="s">
        <v>1242</v>
      </c>
      <c r="N55" s="274" t="s">
        <v>1763</v>
      </c>
      <c r="O55" s="274" t="s">
        <v>1764</v>
      </c>
      <c r="P55" s="326" t="s">
        <v>1306</v>
      </c>
      <c r="Q55" s="326" t="s">
        <v>342</v>
      </c>
      <c r="R55" s="274" t="e">
        <f t="shared" si="40"/>
        <v>#REF!</v>
      </c>
      <c r="S55" s="326" t="s">
        <v>1490</v>
      </c>
      <c r="T55" s="322" t="s">
        <v>1774</v>
      </c>
      <c r="U55" s="303">
        <v>2</v>
      </c>
      <c r="V55" s="323" t="s">
        <v>228</v>
      </c>
      <c r="W55" s="324" t="s">
        <v>1492</v>
      </c>
      <c r="X55" s="324" t="s">
        <v>1493</v>
      </c>
      <c r="Y55" s="324" t="s">
        <v>1494</v>
      </c>
      <c r="Z55" s="324" t="s">
        <v>1548</v>
      </c>
      <c r="AA55" s="324" t="s">
        <v>1496</v>
      </c>
      <c r="AB55" s="324" t="s">
        <v>1497</v>
      </c>
      <c r="AC55" s="324" t="s">
        <v>1498</v>
      </c>
      <c r="AD55" s="271">
        <f t="shared" si="36"/>
        <v>15</v>
      </c>
      <c r="AE55" s="271">
        <f t="shared" si="37"/>
        <v>15</v>
      </c>
      <c r="AF55" s="271">
        <f t="shared" si="3"/>
        <v>15</v>
      </c>
      <c r="AG55" s="271">
        <f t="shared" si="4"/>
        <v>10</v>
      </c>
      <c r="AH55" s="271">
        <f t="shared" si="5"/>
        <v>15</v>
      </c>
      <c r="AI55" s="271">
        <f t="shared" si="6"/>
        <v>15</v>
      </c>
      <c r="AJ55" s="271">
        <f t="shared" si="7"/>
        <v>10</v>
      </c>
      <c r="AK55" s="271">
        <f t="shared" si="38"/>
        <v>95</v>
      </c>
      <c r="AL55" s="271" t="str">
        <f t="shared" si="13"/>
        <v>Moderado</v>
      </c>
      <c r="AM55" s="324" t="s">
        <v>1499</v>
      </c>
      <c r="AN55" s="271" t="str">
        <f t="shared" si="14"/>
        <v>Moderado</v>
      </c>
      <c r="AO55" s="271">
        <f t="shared" si="9"/>
        <v>50</v>
      </c>
      <c r="AP55" s="271" t="str">
        <f t="shared" si="15"/>
        <v>Si</v>
      </c>
      <c r="AQ55" s="272">
        <f t="shared" si="34"/>
        <v>50</v>
      </c>
      <c r="AR55" s="272" t="str">
        <f t="shared" si="16"/>
        <v>Moderado</v>
      </c>
      <c r="AS55" s="328" t="s">
        <v>1500</v>
      </c>
      <c r="AT55" s="328" t="s">
        <v>1500</v>
      </c>
      <c r="AU55" s="273">
        <f t="shared" si="17"/>
        <v>1</v>
      </c>
      <c r="AV55" s="273">
        <f t="shared" si="11"/>
        <v>0</v>
      </c>
      <c r="AW55" s="270" t="e">
        <f t="shared" si="39"/>
        <v>#REF!</v>
      </c>
      <c r="AX55" s="858" t="s">
        <v>1775</v>
      </c>
      <c r="AY55" s="858" t="s">
        <v>1767</v>
      </c>
      <c r="AZ55" s="858" t="s">
        <v>1768</v>
      </c>
      <c r="BA55" s="860">
        <v>46022</v>
      </c>
      <c r="BB55" s="858" t="s">
        <v>1773</v>
      </c>
    </row>
    <row r="56" spans="1:54" s="268" customFormat="1" ht="202.5" x14ac:dyDescent="0.2">
      <c r="A56" s="289">
        <v>26</v>
      </c>
      <c r="B56" s="289" t="s">
        <v>1473</v>
      </c>
      <c r="C56" s="274"/>
      <c r="D56" s="274" t="s">
        <v>1474</v>
      </c>
      <c r="E56" s="274" t="s">
        <v>1772</v>
      </c>
      <c r="F56" s="269" t="s">
        <v>177</v>
      </c>
      <c r="G56" s="269">
        <v>0</v>
      </c>
      <c r="H56" s="269">
        <v>0</v>
      </c>
      <c r="I56" s="326" t="s">
        <v>1484</v>
      </c>
      <c r="J56" s="327" t="s">
        <v>1242</v>
      </c>
      <c r="K56" s="274" t="s">
        <v>1486</v>
      </c>
      <c r="L56" s="274" t="s">
        <v>1756</v>
      </c>
      <c r="M56" s="327" t="s">
        <v>1242</v>
      </c>
      <c r="N56" s="274" t="s">
        <v>1763</v>
      </c>
      <c r="O56" s="274" t="s">
        <v>1764</v>
      </c>
      <c r="P56" s="326" t="s">
        <v>1306</v>
      </c>
      <c r="Q56" s="326" t="s">
        <v>342</v>
      </c>
      <c r="R56" s="274" t="e">
        <f t="shared" si="40"/>
        <v>#REF!</v>
      </c>
      <c r="S56" s="326" t="s">
        <v>1490</v>
      </c>
      <c r="T56" s="322" t="s">
        <v>1776</v>
      </c>
      <c r="U56" s="303">
        <v>3</v>
      </c>
      <c r="V56" s="323" t="s">
        <v>228</v>
      </c>
      <c r="W56" s="324" t="s">
        <v>1492</v>
      </c>
      <c r="X56" s="324" t="s">
        <v>1493</v>
      </c>
      <c r="Y56" s="324" t="s">
        <v>1494</v>
      </c>
      <c r="Z56" s="324" t="s">
        <v>1548</v>
      </c>
      <c r="AA56" s="324" t="s">
        <v>1496</v>
      </c>
      <c r="AB56" s="324" t="s">
        <v>1497</v>
      </c>
      <c r="AC56" s="324" t="s">
        <v>1498</v>
      </c>
      <c r="AD56" s="271">
        <f t="shared" si="36"/>
        <v>15</v>
      </c>
      <c r="AE56" s="271">
        <f t="shared" si="37"/>
        <v>15</v>
      </c>
      <c r="AF56" s="271">
        <f t="shared" si="3"/>
        <v>15</v>
      </c>
      <c r="AG56" s="271">
        <f t="shared" si="4"/>
        <v>10</v>
      </c>
      <c r="AH56" s="271">
        <f t="shared" si="5"/>
        <v>15</v>
      </c>
      <c r="AI56" s="271">
        <f t="shared" si="6"/>
        <v>15</v>
      </c>
      <c r="AJ56" s="271">
        <f t="shared" si="7"/>
        <v>10</v>
      </c>
      <c r="AK56" s="271">
        <f t="shared" si="38"/>
        <v>95</v>
      </c>
      <c r="AL56" s="271" t="str">
        <f t="shared" si="13"/>
        <v>Moderado</v>
      </c>
      <c r="AM56" s="324" t="s">
        <v>1499</v>
      </c>
      <c r="AN56" s="271" t="str">
        <f t="shared" si="14"/>
        <v>Moderado</v>
      </c>
      <c r="AO56" s="271">
        <f t="shared" si="9"/>
        <v>50</v>
      </c>
      <c r="AP56" s="271" t="str">
        <f t="shared" si="15"/>
        <v>Si</v>
      </c>
      <c r="AQ56" s="272">
        <f t="shared" si="34"/>
        <v>50</v>
      </c>
      <c r="AR56" s="272" t="str">
        <f t="shared" si="16"/>
        <v>Moderado</v>
      </c>
      <c r="AS56" s="328" t="s">
        <v>1500</v>
      </c>
      <c r="AT56" s="328" t="s">
        <v>1500</v>
      </c>
      <c r="AU56" s="273">
        <f t="shared" si="17"/>
        <v>1</v>
      </c>
      <c r="AV56" s="273">
        <f t="shared" si="11"/>
        <v>0</v>
      </c>
      <c r="AW56" s="270" t="e">
        <f t="shared" si="39"/>
        <v>#REF!</v>
      </c>
      <c r="AX56" s="859"/>
      <c r="AY56" s="859"/>
      <c r="AZ56" s="859"/>
      <c r="BA56" s="861"/>
      <c r="BB56" s="859"/>
    </row>
    <row r="57" spans="1:54" s="268" customFormat="1" ht="409.5" x14ac:dyDescent="0.2">
      <c r="A57" s="612">
        <v>27</v>
      </c>
      <c r="B57" s="612" t="s">
        <v>1475</v>
      </c>
      <c r="C57" s="613"/>
      <c r="D57" s="614" t="s">
        <v>1476</v>
      </c>
      <c r="E57" s="615" t="s">
        <v>1777</v>
      </c>
      <c r="F57" s="521" t="s">
        <v>992</v>
      </c>
      <c r="G57" s="269">
        <v>0</v>
      </c>
      <c r="H57" s="269">
        <v>0</v>
      </c>
      <c r="I57" s="522" t="s">
        <v>1484</v>
      </c>
      <c r="J57" s="593" t="s">
        <v>1778</v>
      </c>
      <c r="K57" s="523" t="s">
        <v>1779</v>
      </c>
      <c r="L57" s="523" t="s">
        <v>1780</v>
      </c>
      <c r="M57" s="524" t="s">
        <v>1781</v>
      </c>
      <c r="N57" s="523" t="s">
        <v>1782</v>
      </c>
      <c r="O57" s="525" t="s">
        <v>1783</v>
      </c>
      <c r="P57" s="522" t="s">
        <v>1306</v>
      </c>
      <c r="Q57" s="326" t="s">
        <v>281</v>
      </c>
      <c r="R57" s="274" t="e">
        <f t="shared" si="40"/>
        <v>#REF!</v>
      </c>
      <c r="S57" s="326" t="s">
        <v>975</v>
      </c>
      <c r="T57" s="618" t="s">
        <v>1784</v>
      </c>
      <c r="U57" s="303">
        <v>1</v>
      </c>
      <c r="V57" s="323" t="s">
        <v>187</v>
      </c>
      <c r="W57" s="324" t="s">
        <v>1492</v>
      </c>
      <c r="X57" s="324" t="s">
        <v>1493</v>
      </c>
      <c r="Y57" s="324" t="s">
        <v>1494</v>
      </c>
      <c r="Z57" s="324" t="s">
        <v>1495</v>
      </c>
      <c r="AA57" s="324" t="s">
        <v>1496</v>
      </c>
      <c r="AB57" s="324" t="s">
        <v>1497</v>
      </c>
      <c r="AC57" s="324" t="s">
        <v>1498</v>
      </c>
      <c r="AD57" s="271">
        <f t="shared" si="36"/>
        <v>15</v>
      </c>
      <c r="AE57" s="271">
        <f t="shared" si="37"/>
        <v>15</v>
      </c>
      <c r="AF57" s="271">
        <f t="shared" si="3"/>
        <v>15</v>
      </c>
      <c r="AG57" s="271">
        <f t="shared" si="4"/>
        <v>15</v>
      </c>
      <c r="AH57" s="271">
        <f t="shared" si="5"/>
        <v>15</v>
      </c>
      <c r="AI57" s="271">
        <f t="shared" si="6"/>
        <v>15</v>
      </c>
      <c r="AJ57" s="271">
        <f t="shared" si="7"/>
        <v>10</v>
      </c>
      <c r="AK57" s="271">
        <f t="shared" si="38"/>
        <v>100</v>
      </c>
      <c r="AL57" s="271" t="str">
        <f t="shared" si="13"/>
        <v>Fuerte</v>
      </c>
      <c r="AM57" s="324" t="s">
        <v>1499</v>
      </c>
      <c r="AN57" s="271" t="str">
        <f t="shared" si="14"/>
        <v>Fuerte</v>
      </c>
      <c r="AO57" s="271">
        <f t="shared" si="9"/>
        <v>100</v>
      </c>
      <c r="AP57" s="271" t="str">
        <f t="shared" si="15"/>
        <v>No</v>
      </c>
      <c r="AQ57" s="272">
        <f t="shared" si="34"/>
        <v>100</v>
      </c>
      <c r="AR57" s="272" t="str">
        <f t="shared" si="16"/>
        <v>Fuerte</v>
      </c>
      <c r="AS57" s="328" t="s">
        <v>1500</v>
      </c>
      <c r="AT57" s="328" t="s">
        <v>1652</v>
      </c>
      <c r="AU57" s="273">
        <f t="shared" si="17"/>
        <v>2</v>
      </c>
      <c r="AV57" s="273">
        <f t="shared" si="11"/>
        <v>0</v>
      </c>
      <c r="AW57" s="270" t="e">
        <f t="shared" si="39"/>
        <v>#REF!</v>
      </c>
      <c r="AX57" s="320" t="s">
        <v>1785</v>
      </c>
      <c r="AY57" s="325" t="s">
        <v>1786</v>
      </c>
      <c r="AZ57" s="325" t="s">
        <v>1787</v>
      </c>
      <c r="BA57" s="526"/>
      <c r="BB57" s="330" t="s">
        <v>1788</v>
      </c>
    </row>
    <row r="58" spans="1:54" s="268" customFormat="1" ht="409.5" x14ac:dyDescent="0.2">
      <c r="A58" s="612">
        <v>28</v>
      </c>
      <c r="B58" s="612" t="s">
        <v>1477</v>
      </c>
      <c r="C58" s="613" t="s">
        <v>1789</v>
      </c>
      <c r="D58" s="613" t="s">
        <v>1478</v>
      </c>
      <c r="E58" s="613" t="s">
        <v>1790</v>
      </c>
      <c r="F58" s="521" t="s">
        <v>992</v>
      </c>
      <c r="G58" s="269">
        <v>0</v>
      </c>
      <c r="H58" s="269">
        <v>0</v>
      </c>
      <c r="I58" s="522" t="s">
        <v>1484</v>
      </c>
      <c r="J58" s="593" t="s">
        <v>1791</v>
      </c>
      <c r="K58" s="525" t="s">
        <v>1792</v>
      </c>
      <c r="L58" s="523" t="s">
        <v>1793</v>
      </c>
      <c r="M58" s="524" t="s">
        <v>1794</v>
      </c>
      <c r="N58" s="525" t="s">
        <v>1795</v>
      </c>
      <c r="O58" s="525" t="s">
        <v>1796</v>
      </c>
      <c r="P58" s="326" t="s">
        <v>1307</v>
      </c>
      <c r="Q58" s="326" t="s">
        <v>342</v>
      </c>
      <c r="R58" s="274" t="e">
        <f t="shared" si="40"/>
        <v>#REF!</v>
      </c>
      <c r="S58" s="326" t="s">
        <v>975</v>
      </c>
      <c r="T58" s="619" t="s">
        <v>1797</v>
      </c>
      <c r="U58" s="303">
        <v>1</v>
      </c>
      <c r="V58" s="323" t="s">
        <v>187</v>
      </c>
      <c r="W58" s="324" t="s">
        <v>1492</v>
      </c>
      <c r="X58" s="324" t="s">
        <v>1493</v>
      </c>
      <c r="Y58" s="324" t="s">
        <v>1494</v>
      </c>
      <c r="Z58" s="324" t="s">
        <v>1495</v>
      </c>
      <c r="AA58" s="324" t="s">
        <v>1496</v>
      </c>
      <c r="AB58" s="324" t="s">
        <v>1497</v>
      </c>
      <c r="AC58" s="324" t="s">
        <v>1498</v>
      </c>
      <c r="AD58" s="271">
        <f t="shared" si="36"/>
        <v>15</v>
      </c>
      <c r="AE58" s="271">
        <f t="shared" si="37"/>
        <v>15</v>
      </c>
      <c r="AF58" s="271">
        <f t="shared" si="3"/>
        <v>15</v>
      </c>
      <c r="AG58" s="271">
        <f t="shared" si="4"/>
        <v>15</v>
      </c>
      <c r="AH58" s="271">
        <f t="shared" si="5"/>
        <v>15</v>
      </c>
      <c r="AI58" s="271">
        <f t="shared" si="6"/>
        <v>15</v>
      </c>
      <c r="AJ58" s="271">
        <f t="shared" si="7"/>
        <v>10</v>
      </c>
      <c r="AK58" s="271">
        <f t="shared" si="38"/>
        <v>100</v>
      </c>
      <c r="AL58" s="271" t="str">
        <f t="shared" si="13"/>
        <v>Fuerte</v>
      </c>
      <c r="AM58" s="324" t="s">
        <v>1499</v>
      </c>
      <c r="AN58" s="271" t="str">
        <f t="shared" si="14"/>
        <v>Fuerte</v>
      </c>
      <c r="AO58" s="271">
        <f t="shared" si="9"/>
        <v>100</v>
      </c>
      <c r="AP58" s="271" t="str">
        <f t="shared" si="15"/>
        <v>No</v>
      </c>
      <c r="AQ58" s="272">
        <f t="shared" si="34"/>
        <v>100</v>
      </c>
      <c r="AR58" s="272" t="str">
        <f t="shared" si="16"/>
        <v>Fuerte</v>
      </c>
      <c r="AS58" s="328" t="s">
        <v>1500</v>
      </c>
      <c r="AT58" s="328" t="s">
        <v>1652</v>
      </c>
      <c r="AU58" s="273">
        <f t="shared" si="17"/>
        <v>2</v>
      </c>
      <c r="AV58" s="273">
        <f t="shared" si="11"/>
        <v>0</v>
      </c>
      <c r="AW58" s="270" t="e">
        <f t="shared" si="39"/>
        <v>#REF!</v>
      </c>
      <c r="AX58" s="320" t="s">
        <v>1798</v>
      </c>
      <c r="AY58" s="325" t="s">
        <v>1799</v>
      </c>
      <c r="AZ58" s="325" t="s">
        <v>1800</v>
      </c>
      <c r="BA58" s="526"/>
      <c r="BB58" s="594" t="s">
        <v>1801</v>
      </c>
    </row>
    <row r="59" spans="1:54" s="268" customFormat="1" ht="409.5" x14ac:dyDescent="0.2">
      <c r="A59" s="612">
        <v>28</v>
      </c>
      <c r="B59" s="612" t="s">
        <v>1477</v>
      </c>
      <c r="C59" s="613"/>
      <c r="D59" s="613" t="s">
        <v>1478</v>
      </c>
      <c r="E59" s="613" t="s">
        <v>1790</v>
      </c>
      <c r="F59" s="521" t="s">
        <v>992</v>
      </c>
      <c r="G59" s="269">
        <v>0</v>
      </c>
      <c r="H59" s="269">
        <v>0</v>
      </c>
      <c r="I59" s="522" t="s">
        <v>1484</v>
      </c>
      <c r="J59" s="593" t="s">
        <v>1791</v>
      </c>
      <c r="K59" s="525" t="s">
        <v>1792</v>
      </c>
      <c r="L59" s="523" t="s">
        <v>1793</v>
      </c>
      <c r="M59" s="524" t="s">
        <v>1794</v>
      </c>
      <c r="N59" s="525" t="s">
        <v>1795</v>
      </c>
      <c r="O59" s="525" t="s">
        <v>1796</v>
      </c>
      <c r="P59" s="326" t="s">
        <v>1307</v>
      </c>
      <c r="Q59" s="326" t="s">
        <v>342</v>
      </c>
      <c r="R59" s="274" t="e">
        <f t="shared" si="40"/>
        <v>#REF!</v>
      </c>
      <c r="S59" s="326" t="s">
        <v>975</v>
      </c>
      <c r="T59" s="620" t="s">
        <v>1802</v>
      </c>
      <c r="U59" s="303">
        <v>2</v>
      </c>
      <c r="V59" s="323" t="s">
        <v>187</v>
      </c>
      <c r="W59" s="324" t="s">
        <v>1492</v>
      </c>
      <c r="X59" s="324" t="s">
        <v>1493</v>
      </c>
      <c r="Y59" s="324" t="s">
        <v>1494</v>
      </c>
      <c r="Z59" s="324" t="s">
        <v>1495</v>
      </c>
      <c r="AA59" s="324" t="s">
        <v>1496</v>
      </c>
      <c r="AB59" s="324" t="s">
        <v>1497</v>
      </c>
      <c r="AC59" s="324" t="s">
        <v>1498</v>
      </c>
      <c r="AD59" s="271">
        <f t="shared" si="36"/>
        <v>15</v>
      </c>
      <c r="AE59" s="271">
        <f t="shared" si="37"/>
        <v>15</v>
      </c>
      <c r="AF59" s="271">
        <f t="shared" si="3"/>
        <v>15</v>
      </c>
      <c r="AG59" s="271">
        <f t="shared" si="4"/>
        <v>15</v>
      </c>
      <c r="AH59" s="271">
        <f t="shared" si="5"/>
        <v>15</v>
      </c>
      <c r="AI59" s="271">
        <f t="shared" si="6"/>
        <v>15</v>
      </c>
      <c r="AJ59" s="271">
        <f t="shared" si="7"/>
        <v>10</v>
      </c>
      <c r="AK59" s="271">
        <f t="shared" si="38"/>
        <v>100</v>
      </c>
      <c r="AL59" s="271" t="str">
        <f t="shared" si="13"/>
        <v>Fuerte</v>
      </c>
      <c r="AM59" s="324" t="s">
        <v>1499</v>
      </c>
      <c r="AN59" s="271" t="str">
        <f t="shared" si="14"/>
        <v>Fuerte</v>
      </c>
      <c r="AO59" s="271">
        <f t="shared" si="9"/>
        <v>100</v>
      </c>
      <c r="AP59" s="271" t="str">
        <f t="shared" si="15"/>
        <v>No</v>
      </c>
      <c r="AQ59" s="272">
        <f t="shared" si="34"/>
        <v>100</v>
      </c>
      <c r="AR59" s="272" t="str">
        <f t="shared" si="16"/>
        <v>Fuerte</v>
      </c>
      <c r="AS59" s="328" t="s">
        <v>1500</v>
      </c>
      <c r="AT59" s="328" t="s">
        <v>1652</v>
      </c>
      <c r="AU59" s="273">
        <f t="shared" si="17"/>
        <v>2</v>
      </c>
      <c r="AV59" s="273">
        <f t="shared" si="11"/>
        <v>0</v>
      </c>
      <c r="AW59" s="270" t="e">
        <f t="shared" si="39"/>
        <v>#REF!</v>
      </c>
      <c r="AX59" s="320" t="s">
        <v>1803</v>
      </c>
      <c r="AY59" s="325" t="s">
        <v>1804</v>
      </c>
      <c r="AZ59" s="325" t="s">
        <v>1805</v>
      </c>
      <c r="BA59" s="526"/>
      <c r="BB59" s="594" t="s">
        <v>1806</v>
      </c>
    </row>
    <row r="60" spans="1:54" ht="112.5" x14ac:dyDescent="0.2">
      <c r="G60" s="374">
        <v>0</v>
      </c>
      <c r="H60" s="374" t="s">
        <v>1551</v>
      </c>
      <c r="T60" s="375"/>
    </row>
    <row r="61" spans="1:54" ht="112.5" x14ac:dyDescent="0.2">
      <c r="G61" s="374">
        <v>0</v>
      </c>
      <c r="H61" s="374" t="s">
        <v>1551</v>
      </c>
      <c r="T61" s="375"/>
    </row>
    <row r="62" spans="1:54" ht="112.5" x14ac:dyDescent="0.2">
      <c r="G62" s="374">
        <v>0</v>
      </c>
      <c r="H62" s="374" t="s">
        <v>1551</v>
      </c>
      <c r="T62" s="375"/>
    </row>
    <row r="63" spans="1:54" ht="112.5" x14ac:dyDescent="0.2">
      <c r="G63" s="374">
        <v>0</v>
      </c>
      <c r="H63" s="374" t="s">
        <v>1551</v>
      </c>
      <c r="T63" s="375"/>
    </row>
    <row r="64" spans="1:54" ht="56.25" x14ac:dyDescent="0.2">
      <c r="G64" s="374">
        <v>0</v>
      </c>
      <c r="H64" s="374" t="s">
        <v>1574</v>
      </c>
      <c r="T64" s="375"/>
    </row>
    <row r="65" spans="7:20" ht="56.25" x14ac:dyDescent="0.2">
      <c r="G65" s="374">
        <v>0</v>
      </c>
      <c r="H65" s="374" t="s">
        <v>1574</v>
      </c>
      <c r="T65" s="375"/>
    </row>
    <row r="66" spans="7:20" ht="56.25" x14ac:dyDescent="0.2">
      <c r="G66" s="374">
        <v>0</v>
      </c>
      <c r="H66" s="374" t="s">
        <v>1574</v>
      </c>
      <c r="T66" s="375"/>
    </row>
    <row r="67" spans="7:20" ht="56.25" x14ac:dyDescent="0.2">
      <c r="G67" s="374">
        <v>0</v>
      </c>
      <c r="H67" s="374" t="s">
        <v>1574</v>
      </c>
      <c r="T67" s="375"/>
    </row>
    <row r="68" spans="7:20" ht="90" x14ac:dyDescent="0.2">
      <c r="G68" s="374">
        <v>0</v>
      </c>
      <c r="H68" s="374" t="s">
        <v>1591</v>
      </c>
      <c r="T68" s="375"/>
    </row>
    <row r="69" spans="7:20" ht="56.25" x14ac:dyDescent="0.2">
      <c r="G69" s="374">
        <v>0</v>
      </c>
      <c r="H69" s="374" t="s">
        <v>1574</v>
      </c>
      <c r="T69" s="375"/>
    </row>
    <row r="70" spans="7:20" ht="56.25" x14ac:dyDescent="0.2">
      <c r="G70" s="374">
        <v>0</v>
      </c>
      <c r="H70" s="374" t="s">
        <v>1574</v>
      </c>
      <c r="T70" s="375"/>
    </row>
    <row r="71" spans="7:20" ht="56.25" x14ac:dyDescent="0.2">
      <c r="G71" s="374">
        <v>0</v>
      </c>
      <c r="H71" s="374" t="s">
        <v>1483</v>
      </c>
      <c r="T71" s="375"/>
    </row>
    <row r="72" spans="7:20" ht="56.25" x14ac:dyDescent="0.2">
      <c r="G72" s="374">
        <v>0</v>
      </c>
      <c r="H72" s="374" t="s">
        <v>1483</v>
      </c>
      <c r="T72" s="375"/>
    </row>
    <row r="73" spans="7:20" ht="56.25" x14ac:dyDescent="0.2">
      <c r="G73" s="374">
        <v>0</v>
      </c>
      <c r="H73" s="374" t="s">
        <v>1483</v>
      </c>
      <c r="T73" s="375"/>
    </row>
    <row r="74" spans="7:20" ht="45" x14ac:dyDescent="0.2">
      <c r="G74" s="374">
        <v>0</v>
      </c>
      <c r="H74" s="374" t="s">
        <v>1516</v>
      </c>
      <c r="T74" s="375"/>
    </row>
    <row r="75" spans="7:20" ht="45" x14ac:dyDescent="0.2">
      <c r="G75" s="374">
        <v>0</v>
      </c>
      <c r="H75" s="374" t="s">
        <v>1516</v>
      </c>
      <c r="T75" s="375"/>
    </row>
    <row r="76" spans="7:20" ht="45" x14ac:dyDescent="0.2">
      <c r="G76" s="374">
        <v>0</v>
      </c>
      <c r="H76" s="374" t="s">
        <v>1516</v>
      </c>
      <c r="T76" s="375"/>
    </row>
    <row r="77" spans="7:20" ht="45" x14ac:dyDescent="0.2">
      <c r="G77" s="374">
        <v>0</v>
      </c>
      <c r="H77" s="374" t="s">
        <v>1516</v>
      </c>
      <c r="T77" s="375"/>
    </row>
    <row r="78" spans="7:20" ht="101.25" x14ac:dyDescent="0.2">
      <c r="G78" s="374">
        <v>0</v>
      </c>
      <c r="H78" s="374" t="s">
        <v>1535</v>
      </c>
      <c r="T78" s="375"/>
    </row>
    <row r="79" spans="7:20" ht="101.25" x14ac:dyDescent="0.2">
      <c r="G79" s="374">
        <v>0</v>
      </c>
      <c r="H79" s="374" t="s">
        <v>1535</v>
      </c>
      <c r="T79" s="375"/>
    </row>
    <row r="80" spans="7:20" ht="112.5" x14ac:dyDescent="0.2">
      <c r="G80" s="374">
        <v>0</v>
      </c>
      <c r="H80" s="374" t="s">
        <v>1551</v>
      </c>
      <c r="T80" s="375"/>
    </row>
    <row r="81" spans="7:20" x14ac:dyDescent="0.2">
      <c r="G81" s="374">
        <v>0</v>
      </c>
      <c r="H81" s="374">
        <v>0</v>
      </c>
      <c r="T81" s="375"/>
    </row>
    <row r="82" spans="7:20" x14ac:dyDescent="0.2">
      <c r="G82" s="374">
        <v>0</v>
      </c>
      <c r="H82" s="374">
        <v>0</v>
      </c>
      <c r="T82" s="375"/>
    </row>
    <row r="83" spans="7:20" x14ac:dyDescent="0.2">
      <c r="G83" s="374">
        <v>0</v>
      </c>
      <c r="H83" s="374">
        <v>0</v>
      </c>
      <c r="T83" s="375"/>
    </row>
    <row r="84" spans="7:20" x14ac:dyDescent="0.2">
      <c r="G84" s="374">
        <v>0</v>
      </c>
      <c r="H84" s="374">
        <v>0</v>
      </c>
      <c r="T84" s="375"/>
    </row>
    <row r="85" spans="7:20" x14ac:dyDescent="0.2">
      <c r="G85" s="374">
        <v>0</v>
      </c>
      <c r="H85" s="374">
        <v>0</v>
      </c>
      <c r="T85" s="375"/>
    </row>
    <row r="86" spans="7:20" x14ac:dyDescent="0.2">
      <c r="G86" s="374">
        <v>0</v>
      </c>
      <c r="H86" s="374">
        <v>0</v>
      </c>
      <c r="T86" s="375"/>
    </row>
    <row r="87" spans="7:20" x14ac:dyDescent="0.2">
      <c r="G87" s="374">
        <v>0</v>
      </c>
      <c r="H87" s="374">
        <v>0</v>
      </c>
      <c r="T87" s="375"/>
    </row>
    <row r="88" spans="7:20" x14ac:dyDescent="0.2">
      <c r="G88" s="374">
        <v>0</v>
      </c>
      <c r="H88" s="374">
        <v>0</v>
      </c>
      <c r="T88" s="375"/>
    </row>
    <row r="89" spans="7:20" x14ac:dyDescent="0.2">
      <c r="G89" s="374">
        <v>0</v>
      </c>
      <c r="H89" s="374">
        <v>0</v>
      </c>
      <c r="T89" s="375"/>
    </row>
    <row r="90" spans="7:20" x14ac:dyDescent="0.2">
      <c r="G90" s="374">
        <v>0</v>
      </c>
      <c r="H90" s="374">
        <v>0</v>
      </c>
      <c r="T90" s="375"/>
    </row>
    <row r="91" spans="7:20" ht="78.75" x14ac:dyDescent="0.2">
      <c r="G91" s="374">
        <v>0</v>
      </c>
      <c r="H91" s="374" t="s">
        <v>1730</v>
      </c>
      <c r="T91" s="375"/>
    </row>
    <row r="92" spans="7:20" ht="78.75" x14ac:dyDescent="0.2">
      <c r="G92" s="374">
        <v>0</v>
      </c>
      <c r="H92" s="374" t="s">
        <v>1730</v>
      </c>
      <c r="T92" s="375"/>
    </row>
    <row r="93" spans="7:20" ht="78.75" x14ac:dyDescent="0.2">
      <c r="G93" s="374">
        <v>0</v>
      </c>
      <c r="H93" s="374" t="s">
        <v>1730</v>
      </c>
      <c r="T93" s="375"/>
    </row>
    <row r="94" spans="7:20" ht="78.75" x14ac:dyDescent="0.2">
      <c r="G94" s="374">
        <v>0</v>
      </c>
      <c r="H94" s="374" t="s">
        <v>1730</v>
      </c>
      <c r="T94" s="375"/>
    </row>
    <row r="95" spans="7:20" x14ac:dyDescent="0.2">
      <c r="G95" s="374">
        <v>0</v>
      </c>
      <c r="H95" s="374">
        <v>0</v>
      </c>
      <c r="T95" s="375"/>
    </row>
    <row r="96" spans="7:20" x14ac:dyDescent="0.2">
      <c r="G96" s="374">
        <v>0</v>
      </c>
      <c r="H96" s="374">
        <v>0</v>
      </c>
      <c r="T96" s="375"/>
    </row>
    <row r="97" spans="7:20" x14ac:dyDescent="0.2">
      <c r="G97" s="374">
        <v>0</v>
      </c>
      <c r="H97" s="374">
        <v>0</v>
      </c>
      <c r="T97" s="375"/>
    </row>
    <row r="98" spans="7:20" x14ac:dyDescent="0.2">
      <c r="G98" s="374">
        <v>0</v>
      </c>
      <c r="H98" s="374">
        <v>0</v>
      </c>
      <c r="T98" s="375"/>
    </row>
    <row r="99" spans="7:20" x14ac:dyDescent="0.2">
      <c r="G99" s="374">
        <v>0</v>
      </c>
      <c r="H99" s="374">
        <v>0</v>
      </c>
      <c r="T99" s="375"/>
    </row>
    <row r="100" spans="7:20" x14ac:dyDescent="0.2">
      <c r="G100" s="374">
        <v>0</v>
      </c>
      <c r="H100" s="374">
        <v>0</v>
      </c>
      <c r="T100" s="375"/>
    </row>
    <row r="101" spans="7:20" x14ac:dyDescent="0.2">
      <c r="G101" s="374">
        <v>0</v>
      </c>
      <c r="H101" s="374">
        <v>0</v>
      </c>
      <c r="T101" s="375"/>
    </row>
    <row r="102" spans="7:20" x14ac:dyDescent="0.2">
      <c r="G102" s="374">
        <v>0</v>
      </c>
      <c r="H102" s="374">
        <v>0</v>
      </c>
      <c r="T102" s="375"/>
    </row>
    <row r="103" spans="7:20" x14ac:dyDescent="0.2">
      <c r="G103" s="374">
        <v>0</v>
      </c>
      <c r="H103" s="374">
        <v>0</v>
      </c>
      <c r="T103" s="375"/>
    </row>
    <row r="104" spans="7:20" x14ac:dyDescent="0.2">
      <c r="G104" s="374">
        <v>0</v>
      </c>
      <c r="H104" s="374">
        <v>0</v>
      </c>
      <c r="T104" s="375"/>
    </row>
    <row r="105" spans="7:20" x14ac:dyDescent="0.2">
      <c r="G105" s="374">
        <v>0</v>
      </c>
      <c r="H105" s="374">
        <v>0</v>
      </c>
      <c r="T105" s="375"/>
    </row>
    <row r="106" spans="7:20" x14ac:dyDescent="0.2">
      <c r="G106" s="374">
        <v>0</v>
      </c>
      <c r="H106" s="374">
        <v>0</v>
      </c>
      <c r="T106" s="375"/>
    </row>
  </sheetData>
  <sheetProtection formatCells="0" formatColumns="0" formatRows="0" insertHyperlinks="0" sort="0" autoFilter="0"/>
  <autoFilter ref="A2:BB106" xr:uid="{0DBBABEC-4D3A-4185-B14B-59488139C705}"/>
  <mergeCells count="65">
    <mergeCell ref="AX55:AX56"/>
    <mergeCell ref="AY55:AY56"/>
    <mergeCell ref="AZ55:AZ56"/>
    <mergeCell ref="BA55:BA56"/>
    <mergeCell ref="BB55:BB56"/>
    <mergeCell ref="AX46:AX47"/>
    <mergeCell ref="AY46:AY47"/>
    <mergeCell ref="AZ46:AZ47"/>
    <mergeCell ref="BA46:BA47"/>
    <mergeCell ref="BB46:BB47"/>
    <mergeCell ref="AX49:AX51"/>
    <mergeCell ref="AY49:AY51"/>
    <mergeCell ref="AZ49:AZ51"/>
    <mergeCell ref="BA49:BA51"/>
    <mergeCell ref="BB49:BB51"/>
    <mergeCell ref="AX41:AX42"/>
    <mergeCell ref="AY41:AY42"/>
    <mergeCell ref="AZ41:AZ42"/>
    <mergeCell ref="BA41:BA42"/>
    <mergeCell ref="BB41:BB43"/>
    <mergeCell ref="AX44:AX45"/>
    <mergeCell ref="AY44:AY45"/>
    <mergeCell ref="AZ44:AZ45"/>
    <mergeCell ref="BA44:BA45"/>
    <mergeCell ref="BB44:BB45"/>
    <mergeCell ref="AX34:AX35"/>
    <mergeCell ref="AY34:AY35"/>
    <mergeCell ref="AZ34:AZ35"/>
    <mergeCell ref="BA34:BA35"/>
    <mergeCell ref="BB34:BB35"/>
    <mergeCell ref="AX38:AX39"/>
    <mergeCell ref="AY38:AY39"/>
    <mergeCell ref="AZ38:AZ39"/>
    <mergeCell ref="BA38:BA39"/>
    <mergeCell ref="BB38:BB39"/>
    <mergeCell ref="AX24:AX27"/>
    <mergeCell ref="AY24:AY27"/>
    <mergeCell ref="AZ24:AZ27"/>
    <mergeCell ref="BA24:BA27"/>
    <mergeCell ref="BB24:BB27"/>
    <mergeCell ref="AX28:AX30"/>
    <mergeCell ref="AY28:AY30"/>
    <mergeCell ref="AZ28:AZ30"/>
    <mergeCell ref="BA28:BA30"/>
    <mergeCell ref="BB28:BB30"/>
    <mergeCell ref="AX14:AX16"/>
    <mergeCell ref="AY14:AY16"/>
    <mergeCell ref="AZ14:AZ16"/>
    <mergeCell ref="BA14:BA16"/>
    <mergeCell ref="BB14:BB16"/>
    <mergeCell ref="AX17:AX19"/>
    <mergeCell ref="AY17:AY19"/>
    <mergeCell ref="AZ17:AZ19"/>
    <mergeCell ref="BA17:BA19"/>
    <mergeCell ref="BB17:BB20"/>
    <mergeCell ref="AX6:AX7"/>
    <mergeCell ref="AY6:AY7"/>
    <mergeCell ref="AZ6:AZ7"/>
    <mergeCell ref="BA6:BA7"/>
    <mergeCell ref="BB6:BB7"/>
    <mergeCell ref="AX12:AX13"/>
    <mergeCell ref="AY12:AY13"/>
    <mergeCell ref="AZ12:AZ13"/>
    <mergeCell ref="BA12:BA13"/>
    <mergeCell ref="BB12:BB13"/>
  </mergeCells>
  <conditionalFormatting sqref="R3:R59 AW3:AW59">
    <cfRule type="cellIs" dxfId="112" priority="220" operator="equal">
      <formula>"Extremo"</formula>
    </cfRule>
    <cfRule type="cellIs" dxfId="111" priority="221" operator="equal">
      <formula>"Alto"</formula>
    </cfRule>
    <cfRule type="cellIs" dxfId="110" priority="222" operator="equal">
      <formula>"Moderado"</formula>
    </cfRule>
    <cfRule type="cellIs" dxfId="109" priority="223" operator="equal">
      <formula>"Bajo"</formula>
    </cfRule>
  </conditionalFormatting>
  <dataValidations count="14">
    <dataValidation type="list" allowBlank="1" showInputMessage="1" showErrorMessage="1" sqref="S3:S59" xr:uid="{5CFD7895-012A-4B5E-8CA1-EB062C842FBC}">
      <formula1>Tratamiento_R</formula1>
    </dataValidation>
    <dataValidation type="list" allowBlank="1" showInputMessage="1" showErrorMessage="1" sqref="P3:P59" xr:uid="{E23194D0-A971-45B9-A641-D38B6F309BA1}">
      <formula1>N_Probabilidad</formula1>
    </dataValidation>
    <dataValidation type="list" allowBlank="1" showInputMessage="1" showErrorMessage="1" sqref="AS3:AS59" xr:uid="{B679F3B4-9B76-474F-B0C1-4240C643632A}">
      <formula1>Influencia_CP</formula1>
    </dataValidation>
    <dataValidation type="list" allowBlank="1" showInputMessage="1" showErrorMessage="1" sqref="AT3:AT59" xr:uid="{4BD24576-4CCB-4412-8887-6A685FA7EF5A}">
      <formula1>Influencia_C</formula1>
    </dataValidation>
    <dataValidation type="list" allowBlank="1" showInputMessage="1" showErrorMessage="1" sqref="V3:V59" xr:uid="{E49B368C-3D86-4CB6-BC92-6A40422AF8F8}">
      <formula1>T_Control</formula1>
    </dataValidation>
    <dataValidation type="list" allowBlank="1" showInputMessage="1" showErrorMessage="1" promptTitle="Seleccione entre las opciones" prompt="Fuerte: El control se ejecuta de manera consistente por parte del responsable._x000a_Moderado: El control se ejecuta algunas veces por parte del responsable._x000a_Débil: El control no se ejecuta por parte del responsable." sqref="AM3:AM59" xr:uid="{7360A7EA-8560-4E65-962D-02E5CE80B168}">
      <formula1>P_ejecución</formula1>
    </dataValidation>
    <dataValidation type="list" allowBlank="1" showInputMessage="1" showErrorMessage="1" sqref="AC3:AC59" xr:uid="{9723AC26-6C7E-43CF-ADA7-50B2E8F4AD03}">
      <formula1>Evidencia</formula1>
    </dataValidation>
    <dataValidation type="list" allowBlank="1" showInputMessage="1" showErrorMessage="1" sqref="AB3:AB59" xr:uid="{DDAC6EC2-04E3-40D8-8B2F-4F9CC80766B5}">
      <formula1>Desviaciones</formula1>
    </dataValidation>
    <dataValidation type="list" allowBlank="1" showInputMessage="1" showErrorMessage="1" sqref="AA3:AA59" xr:uid="{EE646ADA-56F6-461F-A071-1120737535E7}">
      <formula1>Act_control</formula1>
    </dataValidation>
    <dataValidation type="list" allowBlank="1" showInputMessage="1" showErrorMessage="1" sqref="Z3:Z59" xr:uid="{A55A6EC3-6B2A-4D9D-B008-5949BA249419}">
      <formula1>Propósito</formula1>
    </dataValidation>
    <dataValidation type="list" allowBlank="1" showInputMessage="1" showErrorMessage="1" sqref="Y3:Y59" xr:uid="{6B9EEE41-0DA4-4CEE-AF87-18168E3484D0}">
      <formula1>Periodicidad</formula1>
    </dataValidation>
    <dataValidation type="list" allowBlank="1" showInputMessage="1" showErrorMessage="1" sqref="X3:X59" xr:uid="{8D8F0F41-896D-47A6-878D-55B488C8E422}">
      <formula1>S_responsable</formula1>
    </dataValidation>
    <dataValidation type="list" allowBlank="1" showInputMessage="1" showErrorMessage="1" sqref="W3:W59" xr:uid="{B0327396-47C4-466A-B9CB-59A57A0093B3}">
      <formula1>A_responsable</formula1>
    </dataValidation>
    <dataValidation type="list" allowBlank="1" showInputMessage="1" showErrorMessage="1" sqref="Q3:Q59" xr:uid="{DD286647-27BA-4706-A8F3-D723322DB8CA}">
      <formula1>IF(I3="Corrupción",N_ImpactoC,N_Impacto)</formula1>
    </dataValidation>
  </dataValidations>
  <pageMargins left="0.23622047244094491" right="0.23622047244094491" top="0.51181102362204722" bottom="0.35433070866141736" header="0.31496062992125984" footer="0.23622047244094491"/>
  <pageSetup paperSize="5" scale="10" fitToWidth="0" fitToHeight="0" pageOrder="overThenDown" orientation="landscape" horizontalDpi="4294967294" verticalDpi="4294967294" r:id="rId1"/>
  <headerFooter>
    <oddHeader>&amp;L&amp;G&amp;C&amp;"Arial Narrow,Negrita"&amp;10
&amp;"Arial,Negrita"&amp;11MATRIZ DE RIESGOS</oddHeader>
    <oddFooter>&amp;RCódigo:E-02-F-014
Versión: 5 
Fecha: Ver Isolución</oddFoot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13F43FC9-3CAB-459B-801D-0C1255598576}">
          <x14:formula1>
            <xm:f>'Base de datos gestión'!$C$28:$C$49</xm:f>
          </x14:formula1>
          <xm:sqref>F3:F59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EAF9F-E39E-4174-BCCE-020D43F503AD}">
  <dimension ref="A1:C8"/>
  <sheetViews>
    <sheetView workbookViewId="0">
      <selection activeCell="D3" sqref="D3"/>
    </sheetView>
  </sheetViews>
  <sheetFormatPr baseColWidth="10" defaultColWidth="9" defaultRowHeight="14.25" x14ac:dyDescent="0.2"/>
  <cols>
    <col min="1" max="1" width="32.125" customWidth="1"/>
    <col min="2" max="2" width="53.5" customWidth="1"/>
    <col min="3" max="3" width="36.75" customWidth="1"/>
  </cols>
  <sheetData>
    <row r="1" spans="1:3" ht="18" x14ac:dyDescent="0.2">
      <c r="A1" s="870" t="s">
        <v>19</v>
      </c>
      <c r="B1" s="870"/>
      <c r="C1" s="870"/>
    </row>
    <row r="2" spans="1:3" ht="30" x14ac:dyDescent="0.2">
      <c r="A2" s="538" t="s">
        <v>20</v>
      </c>
      <c r="B2" s="539" t="s">
        <v>21</v>
      </c>
      <c r="C2" s="538" t="s">
        <v>22</v>
      </c>
    </row>
    <row r="3" spans="1:3" ht="199.5" x14ac:dyDescent="0.2">
      <c r="A3" s="232" t="s">
        <v>1807</v>
      </c>
      <c r="B3" s="232" t="s">
        <v>1808</v>
      </c>
      <c r="C3" s="234" t="s">
        <v>1809</v>
      </c>
    </row>
    <row r="4" spans="1:3" x14ac:dyDescent="0.2">
      <c r="A4" s="763"/>
      <c r="B4" s="871"/>
      <c r="C4" s="872"/>
    </row>
    <row r="5" spans="1:3" x14ac:dyDescent="0.2">
      <c r="A5" s="764"/>
      <c r="B5" s="767"/>
      <c r="C5" s="873"/>
    </row>
    <row r="6" spans="1:3" x14ac:dyDescent="0.2">
      <c r="A6" s="765"/>
      <c r="B6" s="768"/>
      <c r="C6" s="874"/>
    </row>
    <row r="7" spans="1:3" x14ac:dyDescent="0.2">
      <c r="A7" s="233"/>
      <c r="B7" s="233"/>
      <c r="C7" s="234"/>
    </row>
    <row r="8" spans="1:3" x14ac:dyDescent="0.2">
      <c r="A8" s="233"/>
      <c r="B8" s="233"/>
      <c r="C8" s="234"/>
    </row>
  </sheetData>
  <sheetProtection sheet="1" objects="1" scenarios="1"/>
  <mergeCells count="4">
    <mergeCell ref="A1:C1"/>
    <mergeCell ref="A4:A6"/>
    <mergeCell ref="B4:B6"/>
    <mergeCell ref="C4:C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1395A-461A-4559-81B1-331AECD7EC69}">
  <sheetPr>
    <tabColor rgb="FF00B050"/>
  </sheetPr>
  <dimension ref="A1:Z997"/>
  <sheetViews>
    <sheetView topLeftCell="B1" zoomScale="55" zoomScaleNormal="55" zoomScaleSheetLayoutView="115" zoomScalePageLayoutView="55" workbookViewId="0">
      <selection activeCell="B2" sqref="B2:H2"/>
    </sheetView>
  </sheetViews>
  <sheetFormatPr baseColWidth="10" defaultColWidth="12.625" defaultRowHeight="15" customHeight="1" x14ac:dyDescent="0.2"/>
  <cols>
    <col min="1" max="1" width="2.5" customWidth="1"/>
    <col min="2" max="3" width="21.625" customWidth="1"/>
    <col min="4" max="4" width="14" customWidth="1"/>
    <col min="5" max="5" width="24.375" customWidth="1"/>
    <col min="6" max="6" width="24.25" customWidth="1"/>
    <col min="7" max="7" width="21.625" customWidth="1"/>
    <col min="8" max="8" width="38.5" customWidth="1"/>
    <col min="9" max="26" width="9.375" customWidth="1"/>
  </cols>
  <sheetData>
    <row r="1" spans="1:26" ht="15.75" thickTop="1" x14ac:dyDescent="0.25">
      <c r="A1" s="115"/>
      <c r="B1" s="194"/>
      <c r="C1" s="195"/>
      <c r="D1" s="195"/>
      <c r="E1" s="195"/>
      <c r="F1" s="195"/>
      <c r="G1" s="195"/>
      <c r="H1" s="196"/>
      <c r="I1" s="115"/>
      <c r="J1" s="115"/>
      <c r="K1" s="115"/>
      <c r="L1" s="115"/>
      <c r="M1" s="115"/>
      <c r="N1" s="115"/>
      <c r="O1" s="115"/>
      <c r="P1" s="115"/>
      <c r="Q1" s="115"/>
      <c r="R1" s="115"/>
      <c r="S1" s="115"/>
      <c r="T1" s="115"/>
      <c r="U1" s="115"/>
      <c r="V1" s="115"/>
      <c r="W1" s="115"/>
      <c r="X1" s="115"/>
      <c r="Y1" s="115"/>
      <c r="Z1" s="115"/>
    </row>
    <row r="2" spans="1:26" ht="48.75" customHeight="1" x14ac:dyDescent="0.3">
      <c r="A2" s="115"/>
      <c r="B2" s="898" t="s">
        <v>1810</v>
      </c>
      <c r="C2" s="899"/>
      <c r="D2" s="899"/>
      <c r="E2" s="899"/>
      <c r="F2" s="899"/>
      <c r="G2" s="899"/>
      <c r="H2" s="900"/>
      <c r="I2" s="115"/>
      <c r="J2" s="115"/>
      <c r="K2" s="115"/>
      <c r="L2" s="115"/>
      <c r="M2" s="115"/>
      <c r="N2" s="115"/>
      <c r="O2" s="115"/>
      <c r="P2" s="115"/>
      <c r="Q2" s="115"/>
      <c r="R2" s="115"/>
      <c r="S2" s="115"/>
      <c r="T2" s="115"/>
      <c r="U2" s="115"/>
      <c r="V2" s="115"/>
      <c r="W2" s="115"/>
      <c r="X2" s="115"/>
      <c r="Y2" s="115"/>
      <c r="Z2" s="115"/>
    </row>
    <row r="3" spans="1:26" x14ac:dyDescent="0.25">
      <c r="A3" s="115"/>
      <c r="B3" s="197"/>
      <c r="C3" s="131"/>
      <c r="D3" s="131"/>
      <c r="E3" s="131"/>
      <c r="F3" s="131"/>
      <c r="G3" s="131"/>
      <c r="H3" s="198"/>
      <c r="I3" s="115"/>
      <c r="J3" s="115"/>
      <c r="K3" s="115"/>
      <c r="L3" s="115"/>
      <c r="M3" s="115"/>
      <c r="N3" s="115"/>
      <c r="O3" s="115"/>
      <c r="P3" s="115"/>
      <c r="Q3" s="115"/>
      <c r="R3" s="115"/>
      <c r="S3" s="115"/>
      <c r="T3" s="115"/>
      <c r="U3" s="115"/>
      <c r="V3" s="115"/>
      <c r="W3" s="115"/>
      <c r="X3" s="115"/>
      <c r="Y3" s="115"/>
      <c r="Z3" s="115"/>
    </row>
    <row r="4" spans="1:26" ht="22.5" customHeight="1" x14ac:dyDescent="0.25">
      <c r="A4" s="115"/>
      <c r="B4" s="901" t="s">
        <v>79</v>
      </c>
      <c r="C4" s="902"/>
      <c r="D4" s="902"/>
      <c r="E4" s="902"/>
      <c r="F4" s="902"/>
      <c r="G4" s="902"/>
      <c r="H4" s="903"/>
      <c r="I4" s="115"/>
      <c r="J4" s="115"/>
      <c r="K4" s="115"/>
      <c r="L4" s="115"/>
      <c r="M4" s="115"/>
      <c r="N4" s="115"/>
      <c r="O4" s="115"/>
      <c r="P4" s="115"/>
      <c r="Q4" s="115"/>
      <c r="R4" s="115"/>
      <c r="S4" s="115"/>
      <c r="T4" s="115"/>
      <c r="U4" s="115"/>
      <c r="V4" s="115"/>
      <c r="W4" s="115"/>
      <c r="X4" s="115"/>
      <c r="Y4" s="115"/>
      <c r="Z4" s="115"/>
    </row>
    <row r="5" spans="1:26" ht="117.75" customHeight="1" x14ac:dyDescent="0.25">
      <c r="A5" s="115"/>
      <c r="B5" s="904" t="s">
        <v>1811</v>
      </c>
      <c r="C5" s="905"/>
      <c r="D5" s="905"/>
      <c r="E5" s="905"/>
      <c r="F5" s="905"/>
      <c r="G5" s="905"/>
      <c r="H5" s="906"/>
      <c r="I5" s="115"/>
      <c r="J5" s="115"/>
      <c r="K5" s="115"/>
      <c r="L5" s="115"/>
      <c r="M5" s="115"/>
      <c r="N5" s="115"/>
      <c r="O5" s="115"/>
      <c r="P5" s="115"/>
      <c r="Q5" s="115"/>
      <c r="R5" s="115"/>
      <c r="S5" s="115"/>
      <c r="T5" s="115"/>
      <c r="U5" s="115"/>
      <c r="V5" s="115"/>
      <c r="W5" s="115"/>
      <c r="X5" s="115"/>
      <c r="Y5" s="115"/>
      <c r="Z5" s="115"/>
    </row>
    <row r="6" spans="1:26" ht="16.5" x14ac:dyDescent="0.25">
      <c r="A6" s="115"/>
      <c r="B6" s="199"/>
      <c r="C6" s="132"/>
      <c r="D6" s="132"/>
      <c r="E6" s="132"/>
      <c r="F6" s="132"/>
      <c r="G6" s="132"/>
      <c r="H6" s="200"/>
      <c r="I6" s="115"/>
      <c r="J6" s="115"/>
      <c r="K6" s="115"/>
      <c r="L6" s="115"/>
      <c r="M6" s="115"/>
      <c r="N6" s="115"/>
      <c r="O6" s="115"/>
      <c r="P6" s="115"/>
      <c r="Q6" s="115"/>
      <c r="R6" s="115"/>
      <c r="S6" s="115"/>
      <c r="T6" s="115"/>
      <c r="U6" s="115"/>
      <c r="V6" s="115"/>
      <c r="W6" s="115"/>
      <c r="X6" s="115"/>
      <c r="Y6" s="115"/>
      <c r="Z6" s="115"/>
    </row>
    <row r="7" spans="1:26" ht="16.5" customHeight="1" x14ac:dyDescent="0.25">
      <c r="A7" s="115"/>
      <c r="B7" s="907" t="s">
        <v>1812</v>
      </c>
      <c r="C7" s="908"/>
      <c r="D7" s="908"/>
      <c r="E7" s="908"/>
      <c r="F7" s="908"/>
      <c r="G7" s="908"/>
      <c r="H7" s="884"/>
      <c r="I7" s="115"/>
      <c r="J7" s="115"/>
      <c r="K7" s="115"/>
      <c r="L7" s="115"/>
      <c r="M7" s="115"/>
      <c r="N7" s="115"/>
      <c r="O7" s="115"/>
      <c r="P7" s="115"/>
      <c r="Q7" s="115"/>
      <c r="R7" s="115"/>
      <c r="S7" s="115"/>
      <c r="T7" s="115"/>
      <c r="U7" s="115"/>
      <c r="V7" s="115"/>
      <c r="W7" s="115"/>
      <c r="X7" s="115"/>
      <c r="Y7" s="115"/>
      <c r="Z7" s="115"/>
    </row>
    <row r="8" spans="1:26" ht="55.5" customHeight="1" x14ac:dyDescent="0.25">
      <c r="A8" s="115"/>
      <c r="B8" s="909"/>
      <c r="C8" s="908"/>
      <c r="D8" s="908"/>
      <c r="E8" s="908"/>
      <c r="F8" s="908"/>
      <c r="G8" s="908"/>
      <c r="H8" s="884"/>
      <c r="I8" s="115"/>
      <c r="J8" s="115"/>
      <c r="K8" s="115"/>
      <c r="L8" s="115"/>
      <c r="M8" s="115"/>
      <c r="N8" s="115"/>
      <c r="O8" s="115"/>
      <c r="P8" s="115"/>
      <c r="Q8" s="115"/>
      <c r="R8" s="115"/>
      <c r="S8" s="115"/>
      <c r="T8" s="115"/>
      <c r="U8" s="115"/>
      <c r="V8" s="115"/>
      <c r="W8" s="115"/>
      <c r="X8" s="115"/>
      <c r="Y8" s="115"/>
      <c r="Z8" s="115"/>
    </row>
    <row r="9" spans="1:26" ht="15.75" thickBot="1" x14ac:dyDescent="0.3">
      <c r="A9" s="115"/>
      <c r="B9" s="201"/>
      <c r="C9" s="116"/>
      <c r="D9" s="133"/>
      <c r="E9" s="134"/>
      <c r="F9" s="134"/>
      <c r="G9" s="134"/>
      <c r="H9" s="202"/>
      <c r="I9" s="115"/>
      <c r="J9" s="115"/>
      <c r="K9" s="115"/>
      <c r="L9" s="115"/>
      <c r="M9" s="115"/>
      <c r="N9" s="115"/>
      <c r="O9" s="115"/>
      <c r="P9" s="115"/>
      <c r="Q9" s="115"/>
      <c r="R9" s="115"/>
      <c r="S9" s="115"/>
      <c r="T9" s="115"/>
      <c r="U9" s="115"/>
      <c r="V9" s="115"/>
      <c r="W9" s="115"/>
      <c r="X9" s="115"/>
      <c r="Y9" s="115"/>
      <c r="Z9" s="115"/>
    </row>
    <row r="10" spans="1:26" ht="15.75" thickTop="1" x14ac:dyDescent="0.25">
      <c r="A10" s="115"/>
      <c r="B10" s="201"/>
      <c r="C10" s="910" t="s">
        <v>82</v>
      </c>
      <c r="D10" s="911"/>
      <c r="E10" s="912" t="s">
        <v>83</v>
      </c>
      <c r="F10" s="913"/>
      <c r="G10" s="116"/>
      <c r="H10" s="202"/>
      <c r="I10" s="115"/>
      <c r="J10" s="115"/>
      <c r="K10" s="115"/>
      <c r="L10" s="115"/>
      <c r="M10" s="115"/>
      <c r="N10" s="115"/>
      <c r="O10" s="115"/>
      <c r="P10" s="115"/>
      <c r="Q10" s="115"/>
      <c r="R10" s="115"/>
      <c r="S10" s="115"/>
      <c r="T10" s="115"/>
      <c r="U10" s="115"/>
      <c r="V10" s="115"/>
      <c r="W10" s="115"/>
      <c r="X10" s="115"/>
      <c r="Y10" s="115"/>
      <c r="Z10" s="115"/>
    </row>
    <row r="11" spans="1:26" ht="71.25" customHeight="1" x14ac:dyDescent="0.25">
      <c r="A11" s="115"/>
      <c r="B11" s="201"/>
      <c r="C11" s="896" t="s">
        <v>84</v>
      </c>
      <c r="D11" s="893"/>
      <c r="E11" s="897" t="s">
        <v>85</v>
      </c>
      <c r="F11" s="895"/>
      <c r="G11" s="116"/>
      <c r="H11" s="202"/>
      <c r="I11" s="115"/>
      <c r="J11" s="115"/>
      <c r="K11" s="115"/>
      <c r="L11" s="115"/>
      <c r="M11" s="115"/>
      <c r="N11" s="115"/>
      <c r="O11" s="115"/>
      <c r="P11" s="115"/>
      <c r="Q11" s="115"/>
      <c r="R11" s="115"/>
      <c r="S11" s="115"/>
      <c r="T11" s="115"/>
      <c r="U11" s="115"/>
      <c r="V11" s="115"/>
      <c r="W11" s="115"/>
      <c r="X11" s="115"/>
      <c r="Y11" s="115"/>
      <c r="Z11" s="115"/>
    </row>
    <row r="12" spans="1:26" x14ac:dyDescent="0.25">
      <c r="A12" s="115"/>
      <c r="B12" s="201"/>
      <c r="C12" s="892" t="s">
        <v>1480</v>
      </c>
      <c r="D12" s="893"/>
      <c r="E12" s="894" t="s">
        <v>1813</v>
      </c>
      <c r="F12" s="895"/>
      <c r="G12" s="116"/>
      <c r="H12" s="202"/>
      <c r="I12" s="115"/>
      <c r="J12" s="115"/>
      <c r="K12" s="115"/>
      <c r="L12" s="115"/>
      <c r="M12" s="115"/>
      <c r="N12" s="115"/>
      <c r="O12" s="115"/>
      <c r="P12" s="115"/>
      <c r="Q12" s="115"/>
      <c r="R12" s="115"/>
      <c r="S12" s="115"/>
      <c r="T12" s="115"/>
      <c r="U12" s="115"/>
      <c r="V12" s="115"/>
      <c r="W12" s="115"/>
      <c r="X12" s="115"/>
      <c r="Y12" s="115"/>
      <c r="Z12" s="115"/>
    </row>
    <row r="13" spans="1:26" ht="35.25" customHeight="1" x14ac:dyDescent="0.25">
      <c r="A13" s="115"/>
      <c r="B13" s="201"/>
      <c r="C13" s="892" t="s">
        <v>86</v>
      </c>
      <c r="D13" s="893"/>
      <c r="E13" s="894" t="s">
        <v>87</v>
      </c>
      <c r="F13" s="895"/>
      <c r="G13" s="116"/>
      <c r="H13" s="202"/>
      <c r="I13" s="115"/>
      <c r="J13" s="115"/>
      <c r="K13" s="115"/>
      <c r="L13" s="115"/>
      <c r="M13" s="115"/>
      <c r="N13" s="115"/>
      <c r="O13" s="115"/>
      <c r="P13" s="115"/>
      <c r="Q13" s="115"/>
      <c r="R13" s="115"/>
      <c r="S13" s="115"/>
      <c r="T13" s="115"/>
      <c r="U13" s="115"/>
      <c r="V13" s="115"/>
      <c r="W13" s="115"/>
      <c r="X13" s="115"/>
      <c r="Y13" s="115"/>
      <c r="Z13" s="115"/>
    </row>
    <row r="14" spans="1:26" ht="17.25" customHeight="1" x14ac:dyDescent="0.25">
      <c r="A14" s="115"/>
      <c r="B14" s="201"/>
      <c r="C14" s="892" t="s">
        <v>88</v>
      </c>
      <c r="D14" s="893"/>
      <c r="E14" s="894" t="s">
        <v>89</v>
      </c>
      <c r="F14" s="895"/>
      <c r="G14" s="116"/>
      <c r="H14" s="202"/>
      <c r="I14" s="115"/>
      <c r="J14" s="115"/>
      <c r="K14" s="115"/>
      <c r="L14" s="115"/>
      <c r="M14" s="115"/>
      <c r="N14" s="115"/>
      <c r="O14" s="115"/>
      <c r="P14" s="115"/>
      <c r="Q14" s="115"/>
      <c r="R14" s="115"/>
      <c r="S14" s="115"/>
      <c r="T14" s="115"/>
      <c r="U14" s="115"/>
      <c r="V14" s="115"/>
      <c r="W14" s="115"/>
      <c r="X14" s="115"/>
      <c r="Y14" s="115"/>
      <c r="Z14" s="115"/>
    </row>
    <row r="15" spans="1:26" ht="19.5" customHeight="1" x14ac:dyDescent="0.25">
      <c r="A15" s="115"/>
      <c r="B15" s="201"/>
      <c r="C15" s="892" t="s">
        <v>90</v>
      </c>
      <c r="D15" s="893"/>
      <c r="E15" s="894" t="s">
        <v>91</v>
      </c>
      <c r="F15" s="895"/>
      <c r="G15" s="116"/>
      <c r="H15" s="202"/>
      <c r="I15" s="115"/>
      <c r="J15" s="115"/>
      <c r="K15" s="115"/>
      <c r="L15" s="115"/>
      <c r="M15" s="115"/>
      <c r="N15" s="115"/>
      <c r="O15" s="115"/>
      <c r="P15" s="115"/>
      <c r="Q15" s="115"/>
      <c r="R15" s="115"/>
      <c r="S15" s="115"/>
      <c r="T15" s="115"/>
      <c r="U15" s="115"/>
      <c r="V15" s="115"/>
      <c r="W15" s="115"/>
      <c r="X15" s="115"/>
      <c r="Y15" s="115"/>
      <c r="Z15" s="115"/>
    </row>
    <row r="16" spans="1:26" ht="34.5" customHeight="1" x14ac:dyDescent="0.25">
      <c r="A16" s="115"/>
      <c r="B16" s="201"/>
      <c r="C16" s="875" t="s">
        <v>1</v>
      </c>
      <c r="D16" s="889"/>
      <c r="E16" s="877" t="s">
        <v>92</v>
      </c>
      <c r="F16" s="891"/>
      <c r="G16" s="116"/>
      <c r="H16" s="202"/>
      <c r="I16" s="115"/>
      <c r="J16" s="115"/>
      <c r="K16" s="115"/>
      <c r="L16" s="115"/>
      <c r="M16" s="115"/>
      <c r="N16" s="115"/>
      <c r="O16" s="115"/>
      <c r="P16" s="115"/>
      <c r="Q16" s="115"/>
      <c r="R16" s="115"/>
      <c r="S16" s="115"/>
      <c r="T16" s="115"/>
      <c r="U16" s="115"/>
      <c r="V16" s="115"/>
      <c r="W16" s="115"/>
      <c r="X16" s="115"/>
      <c r="Y16" s="115"/>
      <c r="Z16" s="115"/>
    </row>
    <row r="17" spans="1:26" ht="72.75" customHeight="1" x14ac:dyDescent="0.25">
      <c r="A17" s="115"/>
      <c r="B17" s="201"/>
      <c r="C17" s="875" t="s">
        <v>97</v>
      </c>
      <c r="D17" s="889"/>
      <c r="E17" s="877" t="s">
        <v>1814</v>
      </c>
      <c r="F17" s="891"/>
      <c r="G17" s="116"/>
      <c r="H17" s="202"/>
      <c r="I17" s="115"/>
      <c r="J17" s="115"/>
      <c r="K17" s="115"/>
      <c r="L17" s="115"/>
      <c r="M17" s="115"/>
      <c r="N17" s="115"/>
      <c r="O17" s="115"/>
      <c r="P17" s="115"/>
      <c r="Q17" s="115"/>
      <c r="R17" s="115"/>
      <c r="S17" s="115"/>
      <c r="T17" s="115"/>
      <c r="U17" s="115"/>
      <c r="V17" s="115"/>
      <c r="W17" s="115"/>
      <c r="X17" s="115"/>
      <c r="Y17" s="115"/>
      <c r="Z17" s="115"/>
    </row>
    <row r="18" spans="1:26" ht="64.5" customHeight="1" x14ac:dyDescent="0.25">
      <c r="A18" s="115"/>
      <c r="B18" s="201"/>
      <c r="C18" s="875" t="s">
        <v>99</v>
      </c>
      <c r="D18" s="889"/>
      <c r="E18" s="877" t="s">
        <v>100</v>
      </c>
      <c r="F18" s="891"/>
      <c r="G18" s="116"/>
      <c r="H18" s="202"/>
      <c r="I18" s="115"/>
      <c r="J18" s="115"/>
      <c r="K18" s="115"/>
      <c r="L18" s="115"/>
      <c r="M18" s="115"/>
      <c r="N18" s="115"/>
      <c r="O18" s="115"/>
      <c r="P18" s="115"/>
      <c r="Q18" s="115"/>
      <c r="R18" s="115"/>
      <c r="S18" s="115"/>
      <c r="T18" s="115"/>
      <c r="U18" s="115"/>
      <c r="V18" s="115"/>
      <c r="W18" s="115"/>
      <c r="X18" s="115"/>
      <c r="Y18" s="115"/>
      <c r="Z18" s="115"/>
    </row>
    <row r="19" spans="1:26" ht="64.5" customHeight="1" x14ac:dyDescent="0.25">
      <c r="A19" s="115"/>
      <c r="B19" s="201"/>
      <c r="C19" s="875" t="s">
        <v>101</v>
      </c>
      <c r="D19" s="876"/>
      <c r="E19" s="877" t="s">
        <v>102</v>
      </c>
      <c r="F19" s="878"/>
      <c r="G19" s="116"/>
      <c r="H19" s="202"/>
      <c r="I19" s="115"/>
      <c r="J19" s="115"/>
      <c r="K19" s="115"/>
      <c r="L19" s="115"/>
      <c r="M19" s="115"/>
      <c r="N19" s="115"/>
      <c r="O19" s="115"/>
      <c r="P19" s="115"/>
      <c r="Q19" s="115"/>
      <c r="R19" s="115"/>
      <c r="S19" s="115"/>
      <c r="T19" s="115"/>
      <c r="U19" s="115"/>
      <c r="V19" s="115"/>
      <c r="W19" s="115"/>
      <c r="X19" s="115"/>
      <c r="Y19" s="115"/>
      <c r="Z19" s="115"/>
    </row>
    <row r="20" spans="1:26" ht="71.25" customHeight="1" x14ac:dyDescent="0.25">
      <c r="A20" s="115"/>
      <c r="B20" s="201"/>
      <c r="C20" s="875" t="s">
        <v>103</v>
      </c>
      <c r="D20" s="889"/>
      <c r="E20" s="877" t="s">
        <v>104</v>
      </c>
      <c r="F20" s="891"/>
      <c r="G20" s="116"/>
      <c r="H20" s="202"/>
      <c r="I20" s="115"/>
      <c r="J20" s="115"/>
      <c r="K20" s="115"/>
      <c r="L20" s="115"/>
      <c r="M20" s="115"/>
      <c r="N20" s="115"/>
      <c r="O20" s="115"/>
      <c r="P20" s="115"/>
      <c r="Q20" s="115"/>
      <c r="R20" s="115"/>
      <c r="S20" s="115"/>
      <c r="T20" s="115"/>
      <c r="U20" s="115"/>
      <c r="V20" s="115"/>
      <c r="W20" s="115"/>
      <c r="X20" s="115"/>
      <c r="Y20" s="115"/>
      <c r="Z20" s="115"/>
    </row>
    <row r="21" spans="1:26" ht="37.5" customHeight="1" x14ac:dyDescent="0.25">
      <c r="A21" s="115"/>
      <c r="B21" s="201"/>
      <c r="C21" s="875" t="s">
        <v>1321</v>
      </c>
      <c r="D21" s="876"/>
      <c r="E21" s="877" t="s">
        <v>1815</v>
      </c>
      <c r="F21" s="878"/>
      <c r="G21" s="116"/>
      <c r="H21" s="202"/>
      <c r="I21" s="115"/>
      <c r="J21" s="115"/>
      <c r="K21" s="115"/>
      <c r="L21" s="115"/>
      <c r="M21" s="115"/>
      <c r="N21" s="115"/>
      <c r="O21" s="115"/>
      <c r="P21" s="115"/>
      <c r="Q21" s="115"/>
      <c r="R21" s="115"/>
      <c r="S21" s="115"/>
      <c r="T21" s="115"/>
      <c r="U21" s="115"/>
      <c r="V21" s="115"/>
      <c r="W21" s="115"/>
      <c r="X21" s="115"/>
      <c r="Y21" s="115"/>
      <c r="Z21" s="115"/>
    </row>
    <row r="22" spans="1:26" ht="71.25" customHeight="1" x14ac:dyDescent="0.25">
      <c r="A22" s="115"/>
      <c r="B22" s="201"/>
      <c r="C22" s="875" t="s">
        <v>1816</v>
      </c>
      <c r="D22" s="876"/>
      <c r="E22" s="877" t="s">
        <v>1817</v>
      </c>
      <c r="F22" s="878"/>
      <c r="G22" s="116"/>
      <c r="H22" s="202"/>
      <c r="I22" s="115"/>
      <c r="J22" s="115"/>
      <c r="K22" s="115"/>
      <c r="L22" s="115"/>
      <c r="M22" s="115"/>
      <c r="N22" s="115"/>
      <c r="O22" s="115"/>
      <c r="P22" s="115"/>
      <c r="Q22" s="115"/>
      <c r="R22" s="115"/>
      <c r="S22" s="115"/>
      <c r="T22" s="115"/>
      <c r="U22" s="115"/>
      <c r="V22" s="115"/>
      <c r="W22" s="115"/>
      <c r="X22" s="115"/>
      <c r="Y22" s="115"/>
      <c r="Z22" s="115"/>
    </row>
    <row r="23" spans="1:26" ht="42.75" customHeight="1" x14ac:dyDescent="0.25">
      <c r="A23" s="115"/>
      <c r="B23" s="201"/>
      <c r="C23" s="875" t="s">
        <v>1327</v>
      </c>
      <c r="D23" s="876"/>
      <c r="E23" s="877" t="s">
        <v>1818</v>
      </c>
      <c r="F23" s="878"/>
      <c r="G23" s="116"/>
      <c r="H23" s="202"/>
      <c r="I23" s="115"/>
      <c r="J23" s="115"/>
      <c r="K23" s="115"/>
      <c r="L23" s="115"/>
      <c r="M23" s="115"/>
      <c r="N23" s="115"/>
      <c r="O23" s="115"/>
      <c r="P23" s="115"/>
      <c r="Q23" s="115"/>
      <c r="R23" s="115"/>
      <c r="S23" s="115"/>
      <c r="T23" s="115"/>
      <c r="U23" s="115"/>
      <c r="V23" s="115"/>
      <c r="W23" s="115"/>
      <c r="X23" s="115"/>
      <c r="Y23" s="115"/>
      <c r="Z23" s="115"/>
    </row>
    <row r="24" spans="1:26" ht="51.75" customHeight="1" x14ac:dyDescent="0.25">
      <c r="A24" s="115"/>
      <c r="B24" s="201"/>
      <c r="C24" s="875" t="s">
        <v>1819</v>
      </c>
      <c r="D24" s="876"/>
      <c r="E24" s="877" t="s">
        <v>1820</v>
      </c>
      <c r="F24" s="878"/>
      <c r="G24" s="116"/>
      <c r="H24" s="202"/>
      <c r="I24" s="115"/>
      <c r="J24" s="115"/>
      <c r="K24" s="115"/>
      <c r="L24" s="115"/>
      <c r="M24" s="115"/>
      <c r="N24" s="115"/>
      <c r="O24" s="115"/>
      <c r="P24" s="115"/>
      <c r="Q24" s="115"/>
      <c r="R24" s="115"/>
      <c r="S24" s="115"/>
      <c r="T24" s="115"/>
      <c r="U24" s="115"/>
      <c r="V24" s="115"/>
      <c r="W24" s="115"/>
      <c r="X24" s="115"/>
      <c r="Y24" s="115"/>
      <c r="Z24" s="115"/>
    </row>
    <row r="25" spans="1:26" ht="55.5" customHeight="1" x14ac:dyDescent="0.25">
      <c r="A25" s="115"/>
      <c r="B25" s="201"/>
      <c r="C25" s="875" t="s">
        <v>105</v>
      </c>
      <c r="D25" s="889"/>
      <c r="E25" s="877" t="s">
        <v>1821</v>
      </c>
      <c r="F25" s="891"/>
      <c r="G25" s="116"/>
      <c r="H25" s="202"/>
      <c r="I25" s="115"/>
      <c r="J25" s="115"/>
      <c r="K25" s="115"/>
      <c r="L25" s="115"/>
      <c r="M25" s="115"/>
      <c r="N25" s="115"/>
      <c r="O25" s="115"/>
      <c r="P25" s="115"/>
      <c r="Q25" s="115"/>
      <c r="R25" s="115"/>
      <c r="S25" s="115"/>
      <c r="T25" s="115"/>
      <c r="U25" s="115"/>
      <c r="V25" s="115"/>
      <c r="W25" s="115"/>
      <c r="X25" s="115"/>
      <c r="Y25" s="115"/>
      <c r="Z25" s="115"/>
    </row>
    <row r="26" spans="1:26" ht="42" customHeight="1" x14ac:dyDescent="0.25">
      <c r="A26" s="115"/>
      <c r="B26" s="201"/>
      <c r="C26" s="888" t="s">
        <v>107</v>
      </c>
      <c r="D26" s="889"/>
      <c r="E26" s="890" t="s">
        <v>108</v>
      </c>
      <c r="F26" s="891"/>
      <c r="G26" s="116"/>
      <c r="H26" s="202"/>
      <c r="I26" s="115"/>
      <c r="J26" s="115"/>
      <c r="K26" s="115"/>
      <c r="L26" s="115"/>
      <c r="M26" s="115"/>
      <c r="N26" s="115"/>
      <c r="O26" s="115"/>
      <c r="P26" s="115"/>
      <c r="Q26" s="115"/>
      <c r="R26" s="115"/>
      <c r="S26" s="115"/>
      <c r="T26" s="115"/>
      <c r="U26" s="115"/>
      <c r="V26" s="115"/>
      <c r="W26" s="115"/>
      <c r="X26" s="115"/>
      <c r="Y26" s="115"/>
      <c r="Z26" s="115"/>
    </row>
    <row r="27" spans="1:26" ht="59.25" customHeight="1" x14ac:dyDescent="0.25">
      <c r="A27" s="115"/>
      <c r="B27" s="201"/>
      <c r="C27" s="888" t="s">
        <v>109</v>
      </c>
      <c r="D27" s="889"/>
      <c r="E27" s="890" t="s">
        <v>1822</v>
      </c>
      <c r="F27" s="891"/>
      <c r="G27" s="116"/>
      <c r="H27" s="202"/>
      <c r="I27" s="115"/>
      <c r="J27" s="115"/>
      <c r="K27" s="115"/>
      <c r="L27" s="115"/>
      <c r="M27" s="115"/>
      <c r="N27" s="115"/>
      <c r="O27" s="115"/>
      <c r="P27" s="115"/>
      <c r="Q27" s="115"/>
      <c r="R27" s="115"/>
      <c r="S27" s="115"/>
      <c r="T27" s="115"/>
      <c r="U27" s="115"/>
      <c r="V27" s="115"/>
      <c r="W27" s="115"/>
      <c r="X27" s="115"/>
      <c r="Y27" s="115"/>
      <c r="Z27" s="115"/>
    </row>
    <row r="28" spans="1:26" ht="23.25" customHeight="1" x14ac:dyDescent="0.25">
      <c r="A28" s="115"/>
      <c r="B28" s="201"/>
      <c r="C28" s="888" t="s">
        <v>111</v>
      </c>
      <c r="D28" s="889"/>
      <c r="E28" s="890" t="s">
        <v>1823</v>
      </c>
      <c r="F28" s="891"/>
      <c r="G28" s="116"/>
      <c r="H28" s="202"/>
      <c r="I28" s="115"/>
      <c r="J28" s="115"/>
      <c r="K28" s="115"/>
      <c r="L28" s="115"/>
      <c r="M28" s="115"/>
      <c r="N28" s="115"/>
      <c r="O28" s="115"/>
      <c r="P28" s="115"/>
      <c r="Q28" s="115"/>
      <c r="R28" s="115"/>
      <c r="S28" s="115"/>
      <c r="T28" s="115"/>
      <c r="U28" s="115"/>
      <c r="V28" s="115"/>
      <c r="W28" s="115"/>
      <c r="X28" s="115"/>
      <c r="Y28" s="115"/>
      <c r="Z28" s="115"/>
    </row>
    <row r="29" spans="1:26" ht="30.75" customHeight="1" x14ac:dyDescent="0.25">
      <c r="A29" s="115"/>
      <c r="B29" s="201"/>
      <c r="C29" s="888" t="s">
        <v>1824</v>
      </c>
      <c r="D29" s="889"/>
      <c r="E29" s="890" t="s">
        <v>114</v>
      </c>
      <c r="F29" s="891"/>
      <c r="G29" s="116"/>
      <c r="H29" s="202"/>
      <c r="I29" s="115"/>
      <c r="J29" s="115"/>
      <c r="K29" s="115"/>
      <c r="L29" s="115"/>
      <c r="M29" s="115"/>
      <c r="N29" s="115"/>
      <c r="O29" s="115"/>
      <c r="P29" s="115"/>
      <c r="Q29" s="115"/>
      <c r="R29" s="115"/>
      <c r="S29" s="115"/>
      <c r="T29" s="115"/>
      <c r="U29" s="115"/>
      <c r="V29" s="115"/>
      <c r="W29" s="115"/>
      <c r="X29" s="115"/>
      <c r="Y29" s="115"/>
      <c r="Z29" s="115"/>
    </row>
    <row r="30" spans="1:26" ht="35.25" customHeight="1" x14ac:dyDescent="0.25">
      <c r="A30" s="115"/>
      <c r="B30" s="201"/>
      <c r="C30" s="888" t="s">
        <v>1825</v>
      </c>
      <c r="D30" s="889"/>
      <c r="E30" s="890" t="s">
        <v>116</v>
      </c>
      <c r="F30" s="891"/>
      <c r="G30" s="116"/>
      <c r="H30" s="202"/>
      <c r="I30" s="115"/>
      <c r="J30" s="115"/>
      <c r="K30" s="115"/>
      <c r="L30" s="115"/>
      <c r="M30" s="115"/>
      <c r="N30" s="115"/>
      <c r="O30" s="115"/>
      <c r="P30" s="115"/>
      <c r="Q30" s="115"/>
      <c r="R30" s="115"/>
      <c r="S30" s="115"/>
      <c r="T30" s="115"/>
      <c r="U30" s="115"/>
      <c r="V30" s="115"/>
      <c r="W30" s="115"/>
      <c r="X30" s="115"/>
      <c r="Y30" s="115"/>
      <c r="Z30" s="115"/>
    </row>
    <row r="31" spans="1:26" ht="33" customHeight="1" x14ac:dyDescent="0.25">
      <c r="A31" s="115"/>
      <c r="B31" s="201"/>
      <c r="C31" s="888" t="s">
        <v>1825</v>
      </c>
      <c r="D31" s="889"/>
      <c r="E31" s="890" t="s">
        <v>116</v>
      </c>
      <c r="F31" s="891"/>
      <c r="G31" s="116"/>
      <c r="H31" s="202"/>
      <c r="I31" s="115"/>
      <c r="J31" s="115"/>
      <c r="K31" s="115"/>
      <c r="L31" s="115"/>
      <c r="M31" s="115"/>
      <c r="N31" s="115"/>
      <c r="O31" s="115"/>
      <c r="P31" s="115"/>
      <c r="Q31" s="115"/>
      <c r="R31" s="115"/>
      <c r="S31" s="115"/>
      <c r="T31" s="115"/>
      <c r="U31" s="115"/>
      <c r="V31" s="115"/>
      <c r="W31" s="115"/>
      <c r="X31" s="115"/>
      <c r="Y31" s="115"/>
      <c r="Z31" s="115"/>
    </row>
    <row r="32" spans="1:26" ht="30" customHeight="1" x14ac:dyDescent="0.25">
      <c r="A32" s="115"/>
      <c r="B32" s="201"/>
      <c r="C32" s="888" t="s">
        <v>1826</v>
      </c>
      <c r="D32" s="889"/>
      <c r="E32" s="890" t="s">
        <v>118</v>
      </c>
      <c r="F32" s="891"/>
      <c r="G32" s="116"/>
      <c r="H32" s="202"/>
      <c r="I32" s="115"/>
      <c r="J32" s="115"/>
      <c r="K32" s="115"/>
      <c r="L32" s="115"/>
      <c r="M32" s="115"/>
      <c r="N32" s="115"/>
      <c r="O32" s="115"/>
      <c r="P32" s="115"/>
      <c r="Q32" s="115"/>
      <c r="R32" s="115"/>
      <c r="S32" s="115"/>
      <c r="T32" s="115"/>
      <c r="U32" s="115"/>
      <c r="V32" s="115"/>
      <c r="W32" s="115"/>
      <c r="X32" s="115"/>
      <c r="Y32" s="115"/>
      <c r="Z32" s="115"/>
    </row>
    <row r="33" spans="1:26" ht="35.25" customHeight="1" x14ac:dyDescent="0.25">
      <c r="A33" s="115"/>
      <c r="B33" s="201"/>
      <c r="C33" s="888" t="s">
        <v>1827</v>
      </c>
      <c r="D33" s="889"/>
      <c r="E33" s="890" t="s">
        <v>120</v>
      </c>
      <c r="F33" s="891"/>
      <c r="G33" s="116"/>
      <c r="H33" s="202"/>
      <c r="I33" s="115"/>
      <c r="J33" s="115"/>
      <c r="K33" s="115"/>
      <c r="L33" s="115"/>
      <c r="M33" s="115"/>
      <c r="N33" s="115"/>
      <c r="O33" s="115"/>
      <c r="P33" s="115"/>
      <c r="Q33" s="115"/>
      <c r="R33" s="115"/>
      <c r="S33" s="115"/>
      <c r="T33" s="115"/>
      <c r="U33" s="115"/>
      <c r="V33" s="115"/>
      <c r="W33" s="115"/>
      <c r="X33" s="115"/>
      <c r="Y33" s="115"/>
      <c r="Z33" s="115"/>
    </row>
    <row r="34" spans="1:26" ht="31.5" customHeight="1" x14ac:dyDescent="0.25">
      <c r="A34" s="115"/>
      <c r="B34" s="201"/>
      <c r="C34" s="888" t="s">
        <v>1828</v>
      </c>
      <c r="D34" s="889"/>
      <c r="E34" s="890" t="s">
        <v>122</v>
      </c>
      <c r="F34" s="891"/>
      <c r="G34" s="116"/>
      <c r="H34" s="202"/>
      <c r="I34" s="115"/>
      <c r="J34" s="115"/>
      <c r="K34" s="115"/>
      <c r="L34" s="115"/>
      <c r="M34" s="115"/>
      <c r="N34" s="115"/>
      <c r="O34" s="115"/>
      <c r="P34" s="115"/>
      <c r="Q34" s="115"/>
      <c r="R34" s="115"/>
      <c r="S34" s="115"/>
      <c r="T34" s="115"/>
      <c r="U34" s="115"/>
      <c r="V34" s="115"/>
      <c r="W34" s="115"/>
      <c r="X34" s="115"/>
      <c r="Y34" s="115"/>
      <c r="Z34" s="115"/>
    </row>
    <row r="35" spans="1:26" ht="35.25" customHeight="1" x14ac:dyDescent="0.25">
      <c r="A35" s="115"/>
      <c r="B35" s="201"/>
      <c r="C35" s="888" t="s">
        <v>1829</v>
      </c>
      <c r="D35" s="889"/>
      <c r="E35" s="890" t="s">
        <v>124</v>
      </c>
      <c r="F35" s="891"/>
      <c r="G35" s="116"/>
      <c r="H35" s="202"/>
      <c r="I35" s="115"/>
      <c r="J35" s="115"/>
      <c r="K35" s="115"/>
      <c r="L35" s="115"/>
      <c r="M35" s="115"/>
      <c r="N35" s="115"/>
      <c r="O35" s="115"/>
      <c r="P35" s="115"/>
      <c r="Q35" s="115"/>
      <c r="R35" s="115"/>
      <c r="S35" s="115"/>
      <c r="T35" s="115"/>
      <c r="U35" s="115"/>
      <c r="V35" s="115"/>
      <c r="W35" s="115"/>
      <c r="X35" s="115"/>
      <c r="Y35" s="115"/>
      <c r="Z35" s="115"/>
    </row>
    <row r="36" spans="1:26" ht="59.25" customHeight="1" x14ac:dyDescent="0.25">
      <c r="A36" s="115"/>
      <c r="B36" s="201"/>
      <c r="C36" s="888" t="s">
        <v>125</v>
      </c>
      <c r="D36" s="889"/>
      <c r="E36" s="890" t="s">
        <v>1830</v>
      </c>
      <c r="F36" s="891"/>
      <c r="G36" s="116"/>
      <c r="H36" s="202"/>
      <c r="I36" s="115"/>
      <c r="J36" s="115"/>
      <c r="K36" s="115"/>
      <c r="L36" s="115"/>
      <c r="M36" s="115"/>
      <c r="N36" s="115"/>
      <c r="O36" s="115"/>
      <c r="P36" s="115"/>
      <c r="Q36" s="115"/>
      <c r="R36" s="115"/>
      <c r="S36" s="115"/>
      <c r="T36" s="115"/>
      <c r="U36" s="115"/>
      <c r="V36" s="115"/>
      <c r="W36" s="115"/>
      <c r="X36" s="115"/>
      <c r="Y36" s="115"/>
      <c r="Z36" s="115"/>
    </row>
    <row r="37" spans="1:26" ht="29.25" customHeight="1" x14ac:dyDescent="0.25">
      <c r="A37" s="115"/>
      <c r="B37" s="201"/>
      <c r="C37" s="888" t="s">
        <v>127</v>
      </c>
      <c r="D37" s="889"/>
      <c r="E37" s="890" t="s">
        <v>128</v>
      </c>
      <c r="F37" s="891"/>
      <c r="G37" s="116"/>
      <c r="H37" s="202"/>
      <c r="I37" s="115"/>
      <c r="J37" s="115"/>
      <c r="K37" s="115"/>
      <c r="L37" s="115"/>
      <c r="M37" s="115"/>
      <c r="N37" s="115"/>
      <c r="O37" s="115"/>
      <c r="P37" s="115"/>
      <c r="Q37" s="115"/>
      <c r="R37" s="115"/>
      <c r="S37" s="115"/>
      <c r="T37" s="115"/>
      <c r="U37" s="115"/>
      <c r="V37" s="115"/>
      <c r="W37" s="115"/>
      <c r="X37" s="115"/>
      <c r="Y37" s="115"/>
      <c r="Z37" s="115"/>
    </row>
    <row r="38" spans="1:26" ht="82.5" customHeight="1" x14ac:dyDescent="0.25">
      <c r="A38" s="115"/>
      <c r="B38" s="201"/>
      <c r="C38" s="888" t="s">
        <v>1831</v>
      </c>
      <c r="D38" s="889"/>
      <c r="E38" s="890" t="s">
        <v>130</v>
      </c>
      <c r="F38" s="891"/>
      <c r="G38" s="116"/>
      <c r="H38" s="202"/>
      <c r="I38" s="115"/>
      <c r="J38" s="115"/>
      <c r="K38" s="115"/>
      <c r="L38" s="115"/>
      <c r="M38" s="115"/>
      <c r="N38" s="115"/>
      <c r="O38" s="115"/>
      <c r="P38" s="115"/>
      <c r="Q38" s="115"/>
      <c r="R38" s="115"/>
      <c r="S38" s="115"/>
      <c r="T38" s="115"/>
      <c r="U38" s="115"/>
      <c r="V38" s="115"/>
      <c r="W38" s="115"/>
      <c r="X38" s="115"/>
      <c r="Y38" s="115"/>
      <c r="Z38" s="115"/>
    </row>
    <row r="39" spans="1:26" ht="61.5" customHeight="1" x14ac:dyDescent="0.25">
      <c r="A39" s="115"/>
      <c r="B39" s="201"/>
      <c r="C39" s="879" t="s">
        <v>131</v>
      </c>
      <c r="D39" s="880"/>
      <c r="E39" s="881" t="s">
        <v>1832</v>
      </c>
      <c r="F39" s="882"/>
      <c r="G39" s="116"/>
      <c r="H39" s="202"/>
      <c r="I39" s="115"/>
      <c r="J39" s="115"/>
      <c r="K39" s="115"/>
      <c r="L39" s="115"/>
      <c r="M39" s="115"/>
      <c r="N39" s="115"/>
      <c r="O39" s="115"/>
      <c r="P39" s="115"/>
      <c r="Q39" s="115"/>
      <c r="R39" s="115"/>
      <c r="S39" s="115"/>
      <c r="T39" s="115"/>
      <c r="U39" s="115"/>
      <c r="V39" s="115"/>
      <c r="W39" s="115"/>
      <c r="X39" s="115"/>
      <c r="Y39" s="115"/>
      <c r="Z39" s="115"/>
    </row>
    <row r="40" spans="1:26" ht="15.75" customHeight="1" x14ac:dyDescent="0.25">
      <c r="A40" s="115"/>
      <c r="B40" s="201"/>
      <c r="C40" s="135"/>
      <c r="D40" s="135"/>
      <c r="E40" s="136"/>
      <c r="F40" s="136"/>
      <c r="G40" s="116"/>
      <c r="H40" s="202"/>
      <c r="I40" s="115"/>
      <c r="J40" s="115"/>
      <c r="K40" s="115"/>
      <c r="L40" s="115"/>
      <c r="M40" s="115"/>
      <c r="N40" s="115"/>
      <c r="O40" s="115"/>
      <c r="P40" s="115"/>
      <c r="Q40" s="115"/>
      <c r="R40" s="115"/>
      <c r="S40" s="115"/>
      <c r="T40" s="115"/>
      <c r="U40" s="115"/>
      <c r="V40" s="115"/>
      <c r="W40" s="115"/>
      <c r="X40" s="115"/>
      <c r="Y40" s="115"/>
      <c r="Z40" s="115"/>
    </row>
    <row r="41" spans="1:26" ht="45" customHeight="1" x14ac:dyDescent="0.25">
      <c r="A41" s="115"/>
      <c r="B41" s="883" t="s">
        <v>1833</v>
      </c>
      <c r="C41" s="654"/>
      <c r="D41" s="654"/>
      <c r="E41" s="654"/>
      <c r="F41" s="654"/>
      <c r="G41" s="654"/>
      <c r="H41" s="884"/>
      <c r="I41" s="115"/>
      <c r="J41" s="115"/>
      <c r="K41" s="115"/>
      <c r="L41" s="115"/>
      <c r="M41" s="115"/>
      <c r="N41" s="115"/>
      <c r="O41" s="115"/>
      <c r="P41" s="115"/>
      <c r="Q41" s="115"/>
      <c r="R41" s="115"/>
      <c r="S41" s="115"/>
      <c r="T41" s="115"/>
      <c r="U41" s="115"/>
      <c r="V41" s="115"/>
      <c r="W41" s="115"/>
      <c r="X41" s="115"/>
      <c r="Y41" s="115"/>
      <c r="Z41" s="115"/>
    </row>
    <row r="42" spans="1:26" s="69" customFormat="1" ht="38.25" customHeight="1" thickBot="1" x14ac:dyDescent="0.3">
      <c r="A42" s="137"/>
      <c r="B42" s="885" t="s">
        <v>1834</v>
      </c>
      <c r="C42" s="886"/>
      <c r="D42" s="886"/>
      <c r="E42" s="886"/>
      <c r="F42" s="886"/>
      <c r="G42" s="886"/>
      <c r="H42" s="887"/>
      <c r="I42" s="137"/>
      <c r="J42" s="137"/>
      <c r="K42" s="137"/>
      <c r="L42" s="137"/>
      <c r="M42" s="137"/>
      <c r="N42" s="137"/>
      <c r="O42" s="137"/>
      <c r="P42" s="137"/>
      <c r="Q42" s="137"/>
      <c r="R42" s="137"/>
      <c r="S42" s="137"/>
      <c r="T42" s="137"/>
      <c r="U42" s="137"/>
      <c r="V42" s="137"/>
      <c r="W42" s="137"/>
      <c r="X42" s="137"/>
      <c r="Y42" s="137"/>
      <c r="Z42" s="137"/>
    </row>
    <row r="43" spans="1:26" ht="15.75" customHeight="1" x14ac:dyDescent="0.25">
      <c r="A43" s="115"/>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row>
    <row r="44" spans="1:26" ht="15.75" customHeight="1" x14ac:dyDescent="0.25">
      <c r="A44" s="1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row>
    <row r="45" spans="1:26" ht="15.75" customHeight="1" x14ac:dyDescent="0.25">
      <c r="A45" s="1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row>
    <row r="46" spans="1:26" ht="15.75"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row>
    <row r="47" spans="1:26" ht="15.75" customHeight="1" x14ac:dyDescent="0.25">
      <c r="A47" s="1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row>
    <row r="48" spans="1:26" ht="15.75" customHeight="1" x14ac:dyDescent="0.25">
      <c r="A48" s="115"/>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row>
    <row r="49" spans="1:26" ht="15.75" customHeight="1" x14ac:dyDescent="0.25">
      <c r="A49" s="1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row>
    <row r="50" spans="1:26" ht="15.75" customHeight="1" x14ac:dyDescent="0.25">
      <c r="A50" s="115"/>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row>
    <row r="51" spans="1:26" ht="15.75" customHeight="1" x14ac:dyDescent="0.25">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row>
    <row r="52" spans="1:26" ht="15.75" customHeight="1" x14ac:dyDescent="0.25">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row>
    <row r="53" spans="1:26" ht="15.75" customHeight="1" x14ac:dyDescent="0.25">
      <c r="A53" s="115"/>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row>
    <row r="54" spans="1:26" ht="15.75" customHeight="1" x14ac:dyDescent="0.25">
      <c r="A54" s="115"/>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row>
    <row r="55" spans="1:26" ht="15.75" customHeight="1" x14ac:dyDescent="0.25">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row>
    <row r="56" spans="1:26" ht="15.75" customHeight="1" x14ac:dyDescent="0.25">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row>
    <row r="57" spans="1:26" ht="15.75" customHeight="1" x14ac:dyDescent="0.25">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row>
    <row r="58" spans="1:26" ht="15.75" customHeight="1" x14ac:dyDescent="0.25">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row>
    <row r="59" spans="1:26" ht="15.75" customHeight="1" x14ac:dyDescent="0.25">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row>
    <row r="60" spans="1:26" ht="15.75" customHeight="1" x14ac:dyDescent="0.25">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row>
    <row r="61" spans="1:26" ht="15.75" customHeight="1" x14ac:dyDescent="0.25">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row>
    <row r="62" spans="1:26" ht="15.75" customHeight="1" x14ac:dyDescent="0.25">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row>
    <row r="63" spans="1:26" ht="15.75" customHeight="1" x14ac:dyDescent="0.25">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row>
    <row r="64" spans="1:26" ht="15.75" customHeight="1" x14ac:dyDescent="0.25">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row>
    <row r="65" spans="1:26" ht="15.75" customHeight="1" x14ac:dyDescent="0.25">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row>
    <row r="66" spans="1:26" ht="15.75" customHeight="1" x14ac:dyDescent="0.25">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row>
    <row r="67" spans="1:26" ht="15.75" customHeight="1" x14ac:dyDescent="0.25">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row>
    <row r="68" spans="1:26" ht="15.75" customHeight="1" x14ac:dyDescent="0.25">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row>
    <row r="69" spans="1:26" ht="15.75" customHeight="1" x14ac:dyDescent="0.25">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row>
    <row r="70" spans="1:26" ht="15.75" customHeight="1" x14ac:dyDescent="0.25">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row>
    <row r="71" spans="1:26" ht="15.75" customHeight="1" x14ac:dyDescent="0.25">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row>
    <row r="72" spans="1:26" ht="15.75" customHeight="1" x14ac:dyDescent="0.25">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row>
    <row r="73" spans="1:26" ht="15.75" customHeight="1" x14ac:dyDescent="0.25">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row>
    <row r="74" spans="1:26" ht="15.75" customHeight="1" x14ac:dyDescent="0.25">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row>
    <row r="75" spans="1:26" ht="15.75" customHeight="1" x14ac:dyDescent="0.25">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row>
    <row r="76" spans="1:26" ht="15.75" customHeight="1" x14ac:dyDescent="0.25">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row>
    <row r="77" spans="1:26" ht="15.75"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row>
    <row r="78" spans="1:26" ht="15.75" customHeight="1" x14ac:dyDescent="0.25">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row>
    <row r="79" spans="1:26" ht="15.75"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row>
    <row r="80" spans="1:26" ht="15.75" customHeight="1" x14ac:dyDescent="0.25">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row>
    <row r="81" spans="1:26" ht="15.75" customHeight="1" x14ac:dyDescent="0.25">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row>
    <row r="82" spans="1:26" ht="15.75" customHeight="1" x14ac:dyDescent="0.25">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row>
    <row r="83" spans="1:26" ht="15.75" customHeight="1" x14ac:dyDescent="0.25">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row>
    <row r="84" spans="1:26" ht="15.75" customHeight="1" x14ac:dyDescent="0.25">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row>
    <row r="85" spans="1:26" ht="15.75" customHeight="1" x14ac:dyDescent="0.25">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row>
    <row r="86" spans="1:26" ht="15.75" customHeight="1" x14ac:dyDescent="0.25">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row>
    <row r="87" spans="1:26" ht="15.75" customHeight="1" x14ac:dyDescent="0.25">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row>
    <row r="88" spans="1:26" ht="15.75" customHeight="1" x14ac:dyDescent="0.25">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row>
    <row r="89" spans="1:26" ht="15.75" customHeight="1" x14ac:dyDescent="0.25">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row>
    <row r="90" spans="1:26" ht="15.75" customHeight="1" x14ac:dyDescent="0.25">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row>
    <row r="91" spans="1:26" ht="15.75" customHeight="1" x14ac:dyDescent="0.25">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row>
    <row r="92" spans="1:26" ht="15.75" customHeight="1" x14ac:dyDescent="0.25">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row>
    <row r="93" spans="1:26" ht="15.75" customHeight="1" x14ac:dyDescent="0.25">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row>
    <row r="94" spans="1:26" ht="15.75" customHeight="1" x14ac:dyDescent="0.25">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row>
    <row r="95" spans="1:26" ht="15.75" customHeight="1" x14ac:dyDescent="0.25">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row>
    <row r="96" spans="1:26" ht="15.75" customHeight="1" x14ac:dyDescent="0.25">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row>
    <row r="97" spans="1:26" ht="15.75" customHeight="1" x14ac:dyDescent="0.25">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row>
    <row r="98" spans="1:26" ht="15.75" customHeight="1" x14ac:dyDescent="0.25">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row>
    <row r="99" spans="1:26" ht="15.75" customHeight="1" x14ac:dyDescent="0.25">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row>
    <row r="100" spans="1:26" ht="15.75"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row>
    <row r="101" spans="1:26" ht="15.75" customHeight="1" x14ac:dyDescent="0.25">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row>
    <row r="102" spans="1:26" ht="15.75" customHeight="1" x14ac:dyDescent="0.25">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row>
    <row r="103" spans="1:26" ht="15.75" customHeight="1" x14ac:dyDescent="0.25">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row>
    <row r="104" spans="1:26" ht="15.75" customHeight="1" x14ac:dyDescent="0.25">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row>
    <row r="105" spans="1:26" ht="15.75" customHeight="1" x14ac:dyDescent="0.25">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row>
    <row r="106" spans="1:26" ht="15.75" customHeight="1" x14ac:dyDescent="0.25">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row>
    <row r="107" spans="1:26" ht="15.75" customHeight="1" x14ac:dyDescent="0.25">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row>
    <row r="108" spans="1:26" ht="15.75" customHeight="1" x14ac:dyDescent="0.25">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row>
    <row r="109" spans="1:26" ht="15.75" customHeight="1" x14ac:dyDescent="0.25">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row>
    <row r="110" spans="1:26" ht="15.75" customHeight="1" x14ac:dyDescent="0.25">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row>
    <row r="111" spans="1:26" ht="15.75"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row>
    <row r="112" spans="1:26" ht="15.75" customHeight="1" x14ac:dyDescent="0.25">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row>
    <row r="113" spans="1:26" ht="15.75" customHeight="1" x14ac:dyDescent="0.25">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row>
    <row r="114" spans="1:26" ht="15.75" customHeight="1" x14ac:dyDescent="0.25">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row>
    <row r="115" spans="1:26" ht="15.75" customHeight="1" x14ac:dyDescent="0.25">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row>
    <row r="116" spans="1:26" ht="15.75" customHeight="1" x14ac:dyDescent="0.25">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row>
    <row r="117" spans="1:26" ht="15.75" customHeight="1" x14ac:dyDescent="0.25">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row>
    <row r="118" spans="1:26" ht="15.75" customHeight="1" x14ac:dyDescent="0.25">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row>
    <row r="119" spans="1:26" ht="15.75" customHeight="1" x14ac:dyDescent="0.25">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row>
    <row r="120" spans="1:26" ht="15.75" customHeight="1" x14ac:dyDescent="0.25">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row>
    <row r="121" spans="1:26" ht="15.75" customHeight="1" x14ac:dyDescent="0.25">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row>
    <row r="122" spans="1:26" ht="15.75" customHeight="1" x14ac:dyDescent="0.25">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row>
    <row r="123" spans="1:26" ht="15.75" customHeight="1" x14ac:dyDescent="0.25">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row>
    <row r="124" spans="1:26" ht="15.75" customHeight="1" x14ac:dyDescent="0.25">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row>
    <row r="125" spans="1:26" ht="15.75" customHeight="1" x14ac:dyDescent="0.25">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row>
    <row r="126" spans="1:26" ht="15.75" customHeight="1" x14ac:dyDescent="0.25">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row>
    <row r="127" spans="1:26" ht="15.75" customHeight="1" x14ac:dyDescent="0.25">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row>
    <row r="128" spans="1:26" ht="15.75"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row>
    <row r="129" spans="1:26" ht="15.75" customHeight="1" x14ac:dyDescent="0.25">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row>
    <row r="130" spans="1:26" ht="15.75" customHeight="1" x14ac:dyDescent="0.25">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row>
    <row r="131" spans="1:26" ht="15.75" customHeight="1" x14ac:dyDescent="0.25">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row>
    <row r="132" spans="1:26" ht="15.75" customHeight="1" x14ac:dyDescent="0.25">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row>
    <row r="133" spans="1:26" ht="15.75" customHeight="1" x14ac:dyDescent="0.25">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row>
    <row r="134" spans="1:26" ht="15.75" customHeight="1" x14ac:dyDescent="0.25">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row>
    <row r="135" spans="1:26" ht="15.75" customHeight="1" x14ac:dyDescent="0.25">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row>
    <row r="136" spans="1:26" ht="15.75" customHeight="1" x14ac:dyDescent="0.25">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row>
    <row r="137" spans="1:26" ht="15.75" customHeight="1" x14ac:dyDescent="0.25">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row>
    <row r="138" spans="1:26" ht="15.75" customHeight="1" x14ac:dyDescent="0.25">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row>
    <row r="139" spans="1:26" ht="15.75" customHeight="1" x14ac:dyDescent="0.25">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row>
    <row r="140" spans="1:26" ht="15.75" customHeight="1" x14ac:dyDescent="0.25">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row>
    <row r="141" spans="1:26" ht="15.75" customHeight="1" x14ac:dyDescent="0.25">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row>
    <row r="142" spans="1:26" ht="15.75" customHeight="1" x14ac:dyDescent="0.25">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row>
    <row r="143" spans="1:26" ht="15.75" customHeight="1" x14ac:dyDescent="0.25">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row>
    <row r="144" spans="1:26" ht="15.75" customHeight="1" x14ac:dyDescent="0.25">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row>
    <row r="145" spans="1:26" ht="15.75" customHeight="1" x14ac:dyDescent="0.25">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row>
    <row r="146" spans="1:26" ht="15.75" customHeight="1" x14ac:dyDescent="0.25">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row>
    <row r="147" spans="1:26" ht="15.75" customHeight="1" x14ac:dyDescent="0.25">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row>
    <row r="148" spans="1:26" ht="15.75" customHeight="1" x14ac:dyDescent="0.25">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row>
    <row r="149" spans="1:26" ht="15.75" customHeight="1" x14ac:dyDescent="0.25">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row>
    <row r="150" spans="1:26" ht="15.75" customHeight="1" x14ac:dyDescent="0.25">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row>
    <row r="151" spans="1:26" ht="15.75" customHeight="1" x14ac:dyDescent="0.25">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row>
    <row r="152" spans="1:26" ht="15.75" customHeight="1" x14ac:dyDescent="0.25">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row>
    <row r="153" spans="1:26" ht="15.75" customHeight="1" x14ac:dyDescent="0.25">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row>
    <row r="154" spans="1:26" ht="15.75" customHeight="1" x14ac:dyDescent="0.25">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row>
    <row r="155" spans="1:26" ht="15.75" customHeight="1" x14ac:dyDescent="0.25">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row>
    <row r="156" spans="1:26" ht="15.75" customHeight="1" x14ac:dyDescent="0.25">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row>
    <row r="157" spans="1:26" ht="15.75" customHeight="1" x14ac:dyDescent="0.25">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row>
    <row r="158" spans="1:26" ht="15.75" customHeight="1" x14ac:dyDescent="0.25">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row>
    <row r="159" spans="1:26" ht="15.75" customHeight="1" x14ac:dyDescent="0.25">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row>
    <row r="160" spans="1:26" ht="15.75" customHeight="1" x14ac:dyDescent="0.25">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row>
    <row r="161" spans="1:26" ht="15.75" customHeight="1" x14ac:dyDescent="0.25">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row>
    <row r="162" spans="1:26" ht="15.75" customHeight="1" x14ac:dyDescent="0.25">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row>
    <row r="163" spans="1:26" ht="15.75" customHeight="1" x14ac:dyDescent="0.25">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row>
    <row r="164" spans="1:26" ht="15.75" customHeight="1" x14ac:dyDescent="0.25">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row>
    <row r="165" spans="1:26" ht="15.75" customHeight="1" x14ac:dyDescent="0.25">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row>
    <row r="166" spans="1:26" ht="15.75" customHeight="1" x14ac:dyDescent="0.25">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row>
    <row r="167" spans="1:26" ht="15.75" customHeight="1" x14ac:dyDescent="0.25">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row>
    <row r="168" spans="1:26" ht="15.75" customHeight="1" x14ac:dyDescent="0.25">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row>
    <row r="169" spans="1:26" ht="15.75" customHeight="1" x14ac:dyDescent="0.25">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row>
    <row r="170" spans="1:26" ht="15.75" customHeight="1" x14ac:dyDescent="0.25">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row>
    <row r="171" spans="1:26" ht="15.75" customHeight="1" x14ac:dyDescent="0.25">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row>
    <row r="172" spans="1:26" ht="15.75" customHeight="1" x14ac:dyDescent="0.25">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row>
    <row r="173" spans="1:26" ht="15.75" customHeight="1" x14ac:dyDescent="0.25">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row>
    <row r="174" spans="1:26" ht="15.75" customHeight="1" x14ac:dyDescent="0.25">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row>
    <row r="175" spans="1:26" ht="15.75" customHeight="1" x14ac:dyDescent="0.25">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row>
    <row r="176" spans="1:26" ht="15.75" customHeight="1" x14ac:dyDescent="0.25">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row>
    <row r="177" spans="1:26" ht="15.75" customHeight="1" x14ac:dyDescent="0.25">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row>
    <row r="178" spans="1:26" ht="15.75" customHeight="1" x14ac:dyDescent="0.25">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row>
    <row r="179" spans="1:26" ht="15.75" customHeight="1" x14ac:dyDescent="0.25">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row>
    <row r="180" spans="1:26" ht="15.75" customHeight="1" x14ac:dyDescent="0.25">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row>
    <row r="181" spans="1:26" ht="15.75" customHeight="1" x14ac:dyDescent="0.25">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row>
    <row r="182" spans="1:26" ht="15.75" customHeight="1" x14ac:dyDescent="0.25">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row>
    <row r="183" spans="1:26" ht="15.75" customHeight="1" x14ac:dyDescent="0.25">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row>
    <row r="184" spans="1:26" ht="15.75" customHeight="1" x14ac:dyDescent="0.25">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row>
    <row r="185" spans="1:26" ht="15.75" customHeight="1" x14ac:dyDescent="0.25">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row>
    <row r="186" spans="1:26" ht="15.75" customHeight="1" x14ac:dyDescent="0.25">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row>
    <row r="187" spans="1:26" ht="15.75" customHeight="1" x14ac:dyDescent="0.25">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row>
    <row r="188" spans="1:26" ht="15.75" customHeight="1" x14ac:dyDescent="0.25">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row>
    <row r="189" spans="1:26" ht="15.75" customHeight="1" x14ac:dyDescent="0.25">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row>
    <row r="190" spans="1:26" ht="15.75" customHeight="1" x14ac:dyDescent="0.25">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row>
    <row r="191" spans="1:26" ht="15.75" customHeight="1" x14ac:dyDescent="0.25">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row>
    <row r="192" spans="1:26" ht="15.75" customHeight="1" x14ac:dyDescent="0.25">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row>
    <row r="193" spans="1:26" ht="15.75" customHeight="1" x14ac:dyDescent="0.25">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row>
    <row r="194" spans="1:26" ht="15.75" customHeight="1" x14ac:dyDescent="0.25">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row>
    <row r="195" spans="1:26" ht="15.75" customHeight="1" x14ac:dyDescent="0.25">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row>
    <row r="196" spans="1:26" ht="15.75" customHeight="1" x14ac:dyDescent="0.25">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row>
    <row r="197" spans="1:26" ht="15.75" customHeight="1" x14ac:dyDescent="0.25">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row>
    <row r="198" spans="1:26" ht="15.75" customHeight="1" x14ac:dyDescent="0.25">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row>
    <row r="199" spans="1:26" ht="15.75" customHeight="1" x14ac:dyDescent="0.25">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row>
    <row r="200" spans="1:26" ht="15.75" customHeight="1" x14ac:dyDescent="0.25">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row>
    <row r="201" spans="1:26" ht="15.75" customHeight="1" x14ac:dyDescent="0.25">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row>
    <row r="202" spans="1:26" ht="15.75" customHeight="1" x14ac:dyDescent="0.25">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row>
    <row r="203" spans="1:26" ht="15.75" customHeight="1" x14ac:dyDescent="0.25">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row>
    <row r="204" spans="1:26" ht="15.75" customHeight="1" x14ac:dyDescent="0.25">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row>
    <row r="205" spans="1:26" ht="15.75" customHeight="1" x14ac:dyDescent="0.25">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row>
    <row r="206" spans="1:26" ht="15.75" customHeight="1" x14ac:dyDescent="0.25">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row>
    <row r="207" spans="1:26" ht="15.75" customHeight="1" x14ac:dyDescent="0.25">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row>
    <row r="208" spans="1:26" ht="15.75" customHeight="1" x14ac:dyDescent="0.25">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row>
    <row r="209" spans="1:26" ht="15.75" customHeight="1" x14ac:dyDescent="0.25">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row>
    <row r="210" spans="1:26" ht="15.75" customHeight="1" x14ac:dyDescent="0.25">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row>
    <row r="211" spans="1:26" ht="15.75" customHeight="1" x14ac:dyDescent="0.25">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row>
    <row r="212" spans="1:26" ht="15.75" customHeight="1" x14ac:dyDescent="0.25">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row>
    <row r="213" spans="1:26" ht="15.75" customHeight="1" x14ac:dyDescent="0.25">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row>
    <row r="214" spans="1:26" ht="15.75" customHeight="1" x14ac:dyDescent="0.25">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row>
    <row r="215" spans="1:26" ht="15.75" customHeight="1" x14ac:dyDescent="0.25">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row>
    <row r="216" spans="1:26" ht="15.75" customHeight="1" x14ac:dyDescent="0.25">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row>
    <row r="217" spans="1:26" ht="15.75" customHeight="1" x14ac:dyDescent="0.25">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row>
    <row r="218" spans="1:26" ht="15.75" customHeight="1" x14ac:dyDescent="0.25">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row>
    <row r="219" spans="1:26" ht="15.75" customHeight="1" x14ac:dyDescent="0.25">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row>
    <row r="220" spans="1:26" ht="15.75" customHeight="1" x14ac:dyDescent="0.25">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row>
    <row r="221" spans="1:26" ht="15.75" customHeight="1" x14ac:dyDescent="0.25">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row>
    <row r="222" spans="1:26" ht="15.75" customHeight="1" x14ac:dyDescent="0.25">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row>
    <row r="223" spans="1:26" ht="15.75" customHeight="1" x14ac:dyDescent="0.25">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row>
    <row r="224" spans="1:26" ht="15.75" customHeight="1" x14ac:dyDescent="0.25">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row>
    <row r="225" spans="1:26" ht="15.75" customHeight="1" x14ac:dyDescent="0.25">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row>
    <row r="226" spans="1:26" ht="15.75" customHeight="1" x14ac:dyDescent="0.25">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row>
    <row r="227" spans="1:26" ht="15.75" customHeight="1" x14ac:dyDescent="0.25">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row>
    <row r="228" spans="1:26" ht="15.75" customHeight="1" x14ac:dyDescent="0.25">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row>
    <row r="229" spans="1:26" ht="15.75" customHeight="1" x14ac:dyDescent="0.25">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row>
    <row r="230" spans="1:26" ht="15.75" customHeight="1" x14ac:dyDescent="0.25">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row>
    <row r="231" spans="1:26" ht="15.75" customHeight="1" x14ac:dyDescent="0.25">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row>
    <row r="232" spans="1:26" ht="15.75" customHeight="1" x14ac:dyDescent="0.25">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row>
    <row r="233" spans="1:26" ht="15.75" customHeight="1" x14ac:dyDescent="0.25">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row>
    <row r="234" spans="1:26" ht="15.75" customHeight="1" x14ac:dyDescent="0.25">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row>
    <row r="235" spans="1:26" ht="15.75" customHeight="1" x14ac:dyDescent="0.25">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row>
    <row r="236" spans="1:26" ht="15.75" customHeight="1" x14ac:dyDescent="0.25">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row>
    <row r="237" spans="1:26" ht="15.75" customHeight="1" x14ac:dyDescent="0.25">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row>
    <row r="238" spans="1:26" ht="15.75" customHeight="1" x14ac:dyDescent="0.25">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row>
    <row r="239" spans="1:26" ht="15.75" customHeight="1" x14ac:dyDescent="0.25">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row>
    <row r="240" spans="1:26" ht="15.75" customHeight="1" x14ac:dyDescent="0.25">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row>
    <row r="241" spans="1:26" ht="15.75" customHeight="1" x14ac:dyDescent="0.25">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row>
    <row r="242" spans="1:26" ht="15.75" customHeight="1" x14ac:dyDescent="0.25">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row>
    <row r="243" spans="1:26" ht="15.75" customHeight="1" x14ac:dyDescent="0.25">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row>
    <row r="244" spans="1:26" ht="15.75" customHeight="1" x14ac:dyDescent="0.25">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row>
    <row r="245" spans="1:26" ht="15.75" customHeight="1" x14ac:dyDescent="0.25">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row>
    <row r="246" spans="1:26" ht="15.75" customHeight="1" x14ac:dyDescent="0.25">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row>
    <row r="247" spans="1:26" ht="15.75" customHeight="1" x14ac:dyDescent="0.25">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row>
    <row r="248" spans="1:26" ht="15.75" customHeight="1" x14ac:dyDescent="0.25">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row>
    <row r="249" spans="1:26" ht="15.75" customHeight="1" x14ac:dyDescent="0.25">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row>
    <row r="250" spans="1:26" ht="15.75" customHeight="1" x14ac:dyDescent="0.25">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row>
    <row r="251" spans="1:26" ht="15.75" customHeight="1" x14ac:dyDescent="0.25">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row>
    <row r="252" spans="1:26" ht="15.75" customHeight="1" x14ac:dyDescent="0.25">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row>
    <row r="253" spans="1:26" ht="15.75" customHeight="1" x14ac:dyDescent="0.25">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row>
    <row r="254" spans="1:26" ht="15.75" customHeight="1" x14ac:dyDescent="0.25">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row>
    <row r="255" spans="1:26" ht="15.75" customHeight="1" x14ac:dyDescent="0.25">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row>
    <row r="256" spans="1:26" ht="15.75" customHeight="1" x14ac:dyDescent="0.25">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row>
    <row r="257" spans="1:26" ht="15.75" customHeight="1" x14ac:dyDescent="0.25">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row>
    <row r="258" spans="1:26" ht="15.75" customHeight="1" x14ac:dyDescent="0.25">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row>
    <row r="259" spans="1:26" ht="15.75" customHeight="1" x14ac:dyDescent="0.25">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row>
    <row r="260" spans="1:26" ht="15.75" customHeight="1" x14ac:dyDescent="0.25">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row>
    <row r="261" spans="1:26" ht="15.75" customHeight="1" x14ac:dyDescent="0.25">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row>
    <row r="262" spans="1:26" ht="15.75" customHeight="1" x14ac:dyDescent="0.25">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row>
    <row r="263" spans="1:26" ht="15.75" customHeight="1" x14ac:dyDescent="0.25">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row>
    <row r="264" spans="1:26" ht="15.75" customHeight="1" x14ac:dyDescent="0.25">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row>
    <row r="265" spans="1:26" ht="15.75" customHeight="1" x14ac:dyDescent="0.25">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row>
    <row r="266" spans="1:26" ht="15.75" customHeight="1" x14ac:dyDescent="0.25">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row>
    <row r="267" spans="1:26" ht="15.75" customHeight="1" x14ac:dyDescent="0.25">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row>
    <row r="268" spans="1:26" ht="15.75" customHeight="1" x14ac:dyDescent="0.25">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row>
    <row r="269" spans="1:26" ht="15.75" customHeight="1" x14ac:dyDescent="0.25">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row>
    <row r="270" spans="1:26" ht="15.75" customHeight="1" x14ac:dyDescent="0.25">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row>
    <row r="271" spans="1:26" ht="15.75" customHeight="1" x14ac:dyDescent="0.25">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row>
    <row r="272" spans="1:26" ht="15.75" customHeight="1" x14ac:dyDescent="0.25">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row>
    <row r="273" spans="1:26" ht="15.75" customHeight="1" x14ac:dyDescent="0.25">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row>
    <row r="274" spans="1:26" ht="15.75" customHeight="1" x14ac:dyDescent="0.25">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row>
    <row r="275" spans="1:26" ht="15.75" customHeight="1" x14ac:dyDescent="0.25">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row>
    <row r="276" spans="1:26" ht="15.75" customHeight="1" x14ac:dyDescent="0.25">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row>
    <row r="277" spans="1:26" ht="15.75" customHeight="1" x14ac:dyDescent="0.25">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row>
    <row r="278" spans="1:26" ht="15.75" customHeight="1" x14ac:dyDescent="0.25">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row>
    <row r="279" spans="1:26" ht="15.75" customHeight="1" x14ac:dyDescent="0.25">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row>
    <row r="280" spans="1:26" ht="15.75" customHeight="1" x14ac:dyDescent="0.25">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row>
    <row r="281" spans="1:26" ht="15.75" customHeight="1" x14ac:dyDescent="0.25">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row>
    <row r="282" spans="1:26" ht="15.75" customHeight="1" x14ac:dyDescent="0.25">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row>
    <row r="283" spans="1:26" ht="15.75" customHeight="1" x14ac:dyDescent="0.25">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row>
    <row r="284" spans="1:26" ht="15.75" customHeight="1" x14ac:dyDescent="0.25">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row>
    <row r="285" spans="1:26" ht="15.75" customHeight="1" x14ac:dyDescent="0.25">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row>
    <row r="286" spans="1:26" ht="15.75" customHeight="1" x14ac:dyDescent="0.25">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row>
    <row r="287" spans="1:26" ht="15.75" customHeight="1" x14ac:dyDescent="0.25">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row>
    <row r="288" spans="1:26" ht="15.75" customHeight="1" x14ac:dyDescent="0.25">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row>
    <row r="289" spans="1:26" ht="15.75" customHeight="1" x14ac:dyDescent="0.25">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row>
    <row r="290" spans="1:26" ht="15.75" customHeight="1" x14ac:dyDescent="0.25">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row>
    <row r="291" spans="1:26" ht="15.75" customHeight="1" x14ac:dyDescent="0.25">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row>
    <row r="292" spans="1:26" ht="15.75" customHeight="1" x14ac:dyDescent="0.25">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row>
    <row r="293" spans="1:26" ht="15.75" customHeight="1" x14ac:dyDescent="0.25">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row>
    <row r="294" spans="1:26" ht="15.75" customHeight="1" x14ac:dyDescent="0.25">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row>
    <row r="295" spans="1:26" ht="15.75" customHeight="1" x14ac:dyDescent="0.25">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row>
    <row r="296" spans="1:26" ht="15.75" customHeight="1" x14ac:dyDescent="0.25">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row>
    <row r="297" spans="1:26" ht="15.75" customHeight="1" x14ac:dyDescent="0.25">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row>
    <row r="298" spans="1:26" ht="15.75" customHeight="1" x14ac:dyDescent="0.25">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row>
    <row r="299" spans="1:26" ht="15.75" customHeight="1" x14ac:dyDescent="0.25">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row>
    <row r="300" spans="1:26" ht="15.75" customHeight="1" x14ac:dyDescent="0.25">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row>
    <row r="301" spans="1:26" ht="15.75" customHeight="1" x14ac:dyDescent="0.25">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row>
    <row r="302" spans="1:26" ht="15.75" customHeight="1" x14ac:dyDescent="0.25">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row>
    <row r="303" spans="1:26" ht="15.75" customHeight="1" x14ac:dyDescent="0.25">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row>
    <row r="304" spans="1:26" ht="15.75" customHeight="1" x14ac:dyDescent="0.25">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row>
    <row r="305" spans="1:26" ht="15.75" customHeight="1" x14ac:dyDescent="0.25">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row>
    <row r="306" spans="1:26" ht="15.75" customHeight="1" x14ac:dyDescent="0.25">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row>
    <row r="307" spans="1:26" ht="15.75" customHeight="1" x14ac:dyDescent="0.25">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row>
    <row r="308" spans="1:26" ht="15.75" customHeight="1" x14ac:dyDescent="0.25">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row>
    <row r="309" spans="1:26" ht="15.75" customHeight="1" x14ac:dyDescent="0.25">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row>
    <row r="310" spans="1:26" ht="15.75" customHeight="1" x14ac:dyDescent="0.25">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row>
    <row r="311" spans="1:26" ht="15.75" customHeight="1" x14ac:dyDescent="0.25">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row>
    <row r="312" spans="1:26" ht="15.75" customHeight="1" x14ac:dyDescent="0.25">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row>
    <row r="313" spans="1:26" ht="15.75" customHeight="1" x14ac:dyDescent="0.25">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row>
    <row r="314" spans="1:26" ht="15.75" customHeight="1" x14ac:dyDescent="0.25">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row>
    <row r="315" spans="1:26" ht="15.75" customHeight="1" x14ac:dyDescent="0.25">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row>
    <row r="316" spans="1:26" ht="15.75" customHeight="1" x14ac:dyDescent="0.25">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row>
    <row r="317" spans="1:26" ht="15.75" customHeight="1" x14ac:dyDescent="0.25">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row>
    <row r="318" spans="1:26" ht="15.75" customHeight="1" x14ac:dyDescent="0.25">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row>
    <row r="319" spans="1:26" ht="15.75" customHeight="1" x14ac:dyDescent="0.25">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row>
    <row r="320" spans="1:26" ht="15.75" customHeight="1" x14ac:dyDescent="0.25">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row>
    <row r="321" spans="1:26" ht="15.75" customHeight="1" x14ac:dyDescent="0.25">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row>
    <row r="322" spans="1:26" ht="15.75" customHeight="1" x14ac:dyDescent="0.25">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row>
    <row r="323" spans="1:26" ht="15.75" customHeight="1" x14ac:dyDescent="0.25">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row>
    <row r="324" spans="1:26" ht="15.75" customHeight="1" x14ac:dyDescent="0.25">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row>
    <row r="325" spans="1:26" ht="15.75" customHeight="1" x14ac:dyDescent="0.25">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row>
    <row r="326" spans="1:26" ht="15.75" customHeight="1" x14ac:dyDescent="0.25">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row>
    <row r="327" spans="1:26" ht="15.75" customHeight="1" x14ac:dyDescent="0.25">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row>
    <row r="328" spans="1:26" ht="15.75" customHeight="1" x14ac:dyDescent="0.25">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row>
    <row r="329" spans="1:26" ht="15.75" customHeight="1" x14ac:dyDescent="0.25">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row>
    <row r="330" spans="1:26" ht="15.75" customHeight="1" x14ac:dyDescent="0.25">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row>
    <row r="331" spans="1:26" ht="15.75" customHeight="1" x14ac:dyDescent="0.25">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row>
    <row r="332" spans="1:26" ht="15.75" customHeight="1" x14ac:dyDescent="0.25">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row>
    <row r="333" spans="1:26" ht="15.75" customHeight="1" x14ac:dyDescent="0.25">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row>
    <row r="334" spans="1:26" ht="15.75" customHeight="1" x14ac:dyDescent="0.25">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row>
    <row r="335" spans="1:26" ht="15.75" customHeight="1" x14ac:dyDescent="0.25">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row>
    <row r="336" spans="1:26" ht="15.75" customHeight="1" x14ac:dyDescent="0.25">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row>
    <row r="337" spans="1:26" ht="15.75" customHeight="1" x14ac:dyDescent="0.25">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row>
    <row r="338" spans="1:26" ht="15.75" customHeight="1" x14ac:dyDescent="0.25">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row>
    <row r="339" spans="1:26" ht="15.75" customHeight="1" x14ac:dyDescent="0.25">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row>
    <row r="340" spans="1:26" ht="15.75" customHeight="1" x14ac:dyDescent="0.25">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row>
    <row r="341" spans="1:26" ht="15.75" customHeight="1" x14ac:dyDescent="0.25">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row>
    <row r="342" spans="1:26" ht="15.75" customHeight="1" x14ac:dyDescent="0.25">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row>
    <row r="343" spans="1:26" ht="15.75" customHeight="1" x14ac:dyDescent="0.25">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row>
    <row r="344" spans="1:26" ht="15.75" customHeight="1" x14ac:dyDescent="0.25">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row>
    <row r="345" spans="1:26" ht="15.75" customHeight="1" x14ac:dyDescent="0.25">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row>
    <row r="346" spans="1:26" ht="15.75" customHeight="1" x14ac:dyDescent="0.25">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row>
    <row r="347" spans="1:26" ht="15.75" customHeight="1" x14ac:dyDescent="0.25">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row>
    <row r="348" spans="1:26" ht="15.75" customHeight="1" x14ac:dyDescent="0.25">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row>
    <row r="349" spans="1:26" ht="15.75" customHeight="1" x14ac:dyDescent="0.25">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row>
    <row r="350" spans="1:26" ht="15.75" customHeight="1" x14ac:dyDescent="0.25">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row>
    <row r="351" spans="1:26" ht="15.75" customHeight="1" x14ac:dyDescent="0.25">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row>
    <row r="352" spans="1:26" ht="15.75" customHeight="1" x14ac:dyDescent="0.25">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row>
    <row r="353" spans="1:26" ht="15.75" customHeight="1" x14ac:dyDescent="0.25">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row>
    <row r="354" spans="1:26" ht="15.75" customHeight="1" x14ac:dyDescent="0.25">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row>
    <row r="355" spans="1:26" ht="15.75" customHeight="1" x14ac:dyDescent="0.25">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row>
    <row r="356" spans="1:26" ht="15.75" customHeight="1" x14ac:dyDescent="0.25">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row>
    <row r="357" spans="1:26" ht="15.75" customHeight="1" x14ac:dyDescent="0.25">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row>
    <row r="358" spans="1:26" ht="15.75" customHeight="1" x14ac:dyDescent="0.25">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row>
    <row r="359" spans="1:26" ht="15.75" customHeight="1" x14ac:dyDescent="0.25">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row>
    <row r="360" spans="1:26" ht="15.75" customHeight="1" x14ac:dyDescent="0.25">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row>
    <row r="361" spans="1:26" ht="15.75" customHeight="1" x14ac:dyDescent="0.25">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row>
    <row r="362" spans="1:26" ht="15.75" customHeight="1" x14ac:dyDescent="0.25">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row>
    <row r="363" spans="1:26" ht="15.75" customHeight="1" x14ac:dyDescent="0.25">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row>
    <row r="364" spans="1:26" ht="15.75" customHeight="1" x14ac:dyDescent="0.25">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row>
    <row r="365" spans="1:26" ht="15.75" customHeight="1" x14ac:dyDescent="0.25">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row>
    <row r="366" spans="1:26" ht="15.75" customHeight="1" x14ac:dyDescent="0.25">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row>
    <row r="367" spans="1:26" ht="15.75" customHeight="1" x14ac:dyDescent="0.25">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row>
    <row r="368" spans="1:26" ht="15.75" customHeight="1" x14ac:dyDescent="0.25">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row>
    <row r="369" spans="1:26" ht="15.75" customHeight="1" x14ac:dyDescent="0.25">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row>
    <row r="370" spans="1:26" ht="15.75" customHeight="1" x14ac:dyDescent="0.25">
      <c r="A370" s="115"/>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row>
    <row r="371" spans="1:26" ht="15.75" customHeight="1" x14ac:dyDescent="0.25">
      <c r="A371" s="115"/>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row>
    <row r="372" spans="1:26" ht="15.75" customHeight="1" x14ac:dyDescent="0.25">
      <c r="A372" s="115"/>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row>
    <row r="373" spans="1:26" ht="15.75" customHeight="1" x14ac:dyDescent="0.25">
      <c r="A373" s="115"/>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row>
    <row r="374" spans="1:26" ht="15.75" customHeight="1" x14ac:dyDescent="0.25">
      <c r="A374" s="115"/>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row>
    <row r="375" spans="1:26" ht="15.75" customHeight="1" x14ac:dyDescent="0.25">
      <c r="A375" s="115"/>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row>
    <row r="376" spans="1:26" ht="15.75" customHeight="1" x14ac:dyDescent="0.25">
      <c r="A376" s="115"/>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row>
    <row r="377" spans="1:26" ht="15.75" customHeight="1" x14ac:dyDescent="0.25">
      <c r="A377" s="115"/>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row>
    <row r="378" spans="1:26" ht="15.75" customHeight="1" x14ac:dyDescent="0.25">
      <c r="A378" s="115"/>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row>
    <row r="379" spans="1:26" ht="15.75" customHeight="1" x14ac:dyDescent="0.25">
      <c r="A379" s="115"/>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row>
    <row r="380" spans="1:26" ht="15.75" customHeight="1" x14ac:dyDescent="0.25">
      <c r="A380" s="115"/>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row>
    <row r="381" spans="1:26" ht="15.75" customHeight="1" x14ac:dyDescent="0.25">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row>
    <row r="382" spans="1:26" ht="15.75" customHeight="1" x14ac:dyDescent="0.25">
      <c r="A382" s="115"/>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row>
    <row r="383" spans="1:26" ht="15.75" customHeight="1" x14ac:dyDescent="0.25">
      <c r="A383" s="115"/>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row>
    <row r="384" spans="1:26" ht="15.75" customHeight="1" x14ac:dyDescent="0.25">
      <c r="A384" s="115"/>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row>
    <row r="385" spans="1:26" ht="15.75" customHeight="1" x14ac:dyDescent="0.25">
      <c r="A385" s="115"/>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row>
    <row r="386" spans="1:26" ht="15.75" customHeight="1" x14ac:dyDescent="0.25">
      <c r="A386" s="115"/>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row>
    <row r="387" spans="1:26" ht="15.75" customHeight="1" x14ac:dyDescent="0.25">
      <c r="A387" s="115"/>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row>
    <row r="388" spans="1:26" ht="15.75" customHeight="1" x14ac:dyDescent="0.25">
      <c r="A388" s="115"/>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row>
    <row r="389" spans="1:26" ht="15.75" customHeight="1" x14ac:dyDescent="0.25">
      <c r="A389" s="115"/>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row>
    <row r="390" spans="1:26" ht="15.75" customHeight="1" x14ac:dyDescent="0.25">
      <c r="A390" s="115"/>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row>
    <row r="391" spans="1:26" ht="15.75" customHeight="1" x14ac:dyDescent="0.25">
      <c r="A391" s="115"/>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row>
    <row r="392" spans="1:26" ht="15.75" customHeight="1" x14ac:dyDescent="0.25">
      <c r="A392" s="115"/>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row>
    <row r="393" spans="1:26" ht="15.75" customHeight="1" x14ac:dyDescent="0.25">
      <c r="A393" s="115"/>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row>
    <row r="394" spans="1:26" ht="15.75" customHeight="1" x14ac:dyDescent="0.25">
      <c r="A394" s="115"/>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row>
    <row r="395" spans="1:26" ht="15.75" customHeight="1" x14ac:dyDescent="0.25">
      <c r="A395" s="115"/>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row>
    <row r="396" spans="1:26" ht="15.75" customHeight="1" x14ac:dyDescent="0.25">
      <c r="A396" s="115"/>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row>
    <row r="397" spans="1:26" ht="15.75" customHeight="1" x14ac:dyDescent="0.25">
      <c r="A397" s="115"/>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row>
    <row r="398" spans="1:26" ht="15.75" customHeight="1" x14ac:dyDescent="0.25">
      <c r="A398" s="115"/>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row>
    <row r="399" spans="1:26" ht="15.75" customHeight="1" x14ac:dyDescent="0.25">
      <c r="A399" s="115"/>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row>
    <row r="400" spans="1:26" ht="15.75" customHeight="1" x14ac:dyDescent="0.25">
      <c r="A400" s="115"/>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row>
    <row r="401" spans="1:26" ht="15.75" customHeight="1" x14ac:dyDescent="0.25">
      <c r="A401" s="115"/>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row>
    <row r="402" spans="1:26" ht="15.75" customHeight="1" x14ac:dyDescent="0.25">
      <c r="A402" s="115"/>
      <c r="B402" s="115"/>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row>
    <row r="403" spans="1:26" ht="15.75" customHeight="1" x14ac:dyDescent="0.25">
      <c r="A403" s="115"/>
      <c r="B403" s="115"/>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row>
    <row r="404" spans="1:26" ht="15.75" customHeight="1" x14ac:dyDescent="0.25">
      <c r="A404" s="115"/>
      <c r="B404" s="115"/>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row>
    <row r="405" spans="1:26" ht="15.75" customHeight="1" x14ac:dyDescent="0.25">
      <c r="A405" s="115"/>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row>
    <row r="406" spans="1:26" ht="15.75" customHeight="1" x14ac:dyDescent="0.25">
      <c r="A406" s="115"/>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row>
    <row r="407" spans="1:26" ht="15.75" customHeight="1" x14ac:dyDescent="0.25">
      <c r="A407" s="115"/>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row>
    <row r="408" spans="1:26" ht="15.75" customHeight="1" x14ac:dyDescent="0.25">
      <c r="A408" s="115"/>
      <c r="B408" s="115"/>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row>
    <row r="409" spans="1:26" ht="15.75" customHeight="1" x14ac:dyDescent="0.25">
      <c r="A409" s="115"/>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row>
    <row r="410" spans="1:26" ht="15.75" customHeight="1" x14ac:dyDescent="0.25">
      <c r="A410" s="115"/>
      <c r="B410" s="115"/>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row>
    <row r="411" spans="1:26" ht="15.75" customHeight="1" x14ac:dyDescent="0.25">
      <c r="A411" s="115"/>
      <c r="B411" s="115"/>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row>
    <row r="412" spans="1:26" ht="15.75" customHeight="1" x14ac:dyDescent="0.25">
      <c r="A412" s="115"/>
      <c r="B412" s="115"/>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row>
    <row r="413" spans="1:26" ht="15.75" customHeight="1" x14ac:dyDescent="0.25">
      <c r="A413" s="115"/>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row>
    <row r="414" spans="1:26" ht="15.75" customHeight="1" x14ac:dyDescent="0.25">
      <c r="A414" s="115"/>
      <c r="B414" s="115"/>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row>
    <row r="415" spans="1:26" ht="15.75" customHeight="1" x14ac:dyDescent="0.25">
      <c r="A415" s="115"/>
      <c r="B415" s="115"/>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row>
    <row r="416" spans="1:26" ht="15.75" customHeight="1" x14ac:dyDescent="0.25">
      <c r="A416" s="115"/>
      <c r="B416" s="115"/>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row>
    <row r="417" spans="1:26" ht="15.75" customHeight="1" x14ac:dyDescent="0.25">
      <c r="A417" s="115"/>
      <c r="B417" s="115"/>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row>
    <row r="418" spans="1:26" ht="15.75" customHeight="1" x14ac:dyDescent="0.25">
      <c r="A418" s="115"/>
      <c r="B418" s="115"/>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row>
    <row r="419" spans="1:26" ht="15.75" customHeight="1" x14ac:dyDescent="0.25">
      <c r="A419" s="115"/>
      <c r="B419" s="115"/>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row>
    <row r="420" spans="1:26" ht="15.75" customHeight="1" x14ac:dyDescent="0.25">
      <c r="A420" s="115"/>
      <c r="B420" s="115"/>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row>
    <row r="421" spans="1:26" ht="15.75" customHeight="1" x14ac:dyDescent="0.25">
      <c r="A421" s="115"/>
      <c r="B421" s="115"/>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row>
    <row r="422" spans="1:26" ht="15.75" customHeight="1" x14ac:dyDescent="0.25">
      <c r="A422" s="115"/>
      <c r="B422" s="115"/>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row>
    <row r="423" spans="1:26" ht="15.75" customHeight="1" x14ac:dyDescent="0.25">
      <c r="A423" s="115"/>
      <c r="B423" s="115"/>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row>
    <row r="424" spans="1:26" ht="15.75" customHeight="1" x14ac:dyDescent="0.25">
      <c r="A424" s="115"/>
      <c r="B424" s="115"/>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row>
    <row r="425" spans="1:26" ht="15.75" customHeight="1" x14ac:dyDescent="0.25">
      <c r="A425" s="115"/>
      <c r="B425" s="115"/>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row>
    <row r="426" spans="1:26" ht="15.75" customHeight="1" x14ac:dyDescent="0.25">
      <c r="A426" s="115"/>
      <c r="B426" s="115"/>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row>
    <row r="427" spans="1:26" ht="15.75" customHeight="1" x14ac:dyDescent="0.25">
      <c r="A427" s="115"/>
      <c r="B427" s="115"/>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row>
    <row r="428" spans="1:26" ht="15.75" customHeight="1" x14ac:dyDescent="0.25">
      <c r="A428" s="115"/>
      <c r="B428" s="115"/>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row>
    <row r="429" spans="1:26" ht="15.75" customHeight="1" x14ac:dyDescent="0.25">
      <c r="A429" s="115"/>
      <c r="B429" s="115"/>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row>
    <row r="430" spans="1:26" ht="15.75" customHeight="1" x14ac:dyDescent="0.25">
      <c r="A430" s="115"/>
      <c r="B430" s="115"/>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row>
    <row r="431" spans="1:26" ht="15.75" customHeight="1" x14ac:dyDescent="0.25">
      <c r="A431" s="115"/>
      <c r="B431" s="115"/>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row>
    <row r="432" spans="1:26" ht="15.75" customHeight="1" x14ac:dyDescent="0.25">
      <c r="A432" s="115"/>
      <c r="B432" s="115"/>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row>
    <row r="433" spans="1:26" ht="15.75" customHeight="1" x14ac:dyDescent="0.25">
      <c r="A433" s="115"/>
      <c r="B433" s="115"/>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row>
    <row r="434" spans="1:26" ht="15.75" customHeight="1" x14ac:dyDescent="0.25">
      <c r="A434" s="115"/>
      <c r="B434" s="115"/>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row>
    <row r="435" spans="1:26" ht="15.75" customHeight="1" x14ac:dyDescent="0.25">
      <c r="A435" s="115"/>
      <c r="B435" s="115"/>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row>
    <row r="436" spans="1:26" ht="15.75" customHeight="1" x14ac:dyDescent="0.25">
      <c r="A436" s="115"/>
      <c r="B436" s="115"/>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row>
    <row r="437" spans="1:26" ht="15.75" customHeight="1" x14ac:dyDescent="0.25">
      <c r="A437" s="115"/>
      <c r="B437" s="115"/>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row>
    <row r="438" spans="1:26" ht="15.75" customHeight="1" x14ac:dyDescent="0.25">
      <c r="A438" s="115"/>
      <c r="B438" s="115"/>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row>
    <row r="439" spans="1:26" ht="15.75" customHeight="1" x14ac:dyDescent="0.25">
      <c r="A439" s="115"/>
      <c r="B439" s="115"/>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row>
    <row r="440" spans="1:26" ht="15.75" customHeight="1" x14ac:dyDescent="0.25">
      <c r="A440" s="115"/>
      <c r="B440" s="115"/>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row>
    <row r="441" spans="1:26" ht="15.75" customHeight="1" x14ac:dyDescent="0.25">
      <c r="A441" s="115"/>
      <c r="B441" s="115"/>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row>
    <row r="442" spans="1:26" ht="15.75" customHeight="1" x14ac:dyDescent="0.25">
      <c r="A442" s="115"/>
      <c r="B442" s="115"/>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row>
    <row r="443" spans="1:26" ht="15.75" customHeight="1" x14ac:dyDescent="0.25">
      <c r="A443" s="115"/>
      <c r="B443" s="115"/>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row>
    <row r="444" spans="1:26" ht="15.75" customHeight="1" x14ac:dyDescent="0.25">
      <c r="A444" s="115"/>
      <c r="B444" s="115"/>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row>
    <row r="445" spans="1:26" ht="15.75" customHeight="1" x14ac:dyDescent="0.25">
      <c r="A445" s="115"/>
      <c r="B445" s="115"/>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row>
    <row r="446" spans="1:26" ht="15.75" customHeight="1" x14ac:dyDescent="0.25">
      <c r="A446" s="115"/>
      <c r="B446" s="115"/>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row>
    <row r="447" spans="1:26" ht="15.75" customHeight="1" x14ac:dyDescent="0.25">
      <c r="A447" s="115"/>
      <c r="B447" s="115"/>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row>
    <row r="448" spans="1:26" ht="15.75" customHeight="1" x14ac:dyDescent="0.25">
      <c r="A448" s="115"/>
      <c r="B448" s="115"/>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row>
    <row r="449" spans="1:26" ht="15.75" customHeight="1" x14ac:dyDescent="0.25">
      <c r="A449" s="115"/>
      <c r="B449" s="115"/>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row>
    <row r="450" spans="1:26" ht="15.75" customHeight="1" x14ac:dyDescent="0.25">
      <c r="A450" s="115"/>
      <c r="B450" s="115"/>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row>
    <row r="451" spans="1:26" ht="15.75" customHeight="1" x14ac:dyDescent="0.25">
      <c r="A451" s="115"/>
      <c r="B451" s="115"/>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row>
    <row r="452" spans="1:26" ht="15.75" customHeight="1" x14ac:dyDescent="0.25">
      <c r="A452" s="115"/>
      <c r="B452" s="115"/>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row>
    <row r="453" spans="1:26" ht="15.75" customHeight="1" x14ac:dyDescent="0.25">
      <c r="A453" s="115"/>
      <c r="B453" s="115"/>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row>
    <row r="454" spans="1:26" ht="15.75" customHeight="1" x14ac:dyDescent="0.25">
      <c r="A454" s="115"/>
      <c r="B454" s="115"/>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row>
    <row r="455" spans="1:26" ht="15.75" customHeight="1" x14ac:dyDescent="0.25">
      <c r="A455" s="115"/>
      <c r="B455" s="115"/>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row>
    <row r="456" spans="1:26" ht="15.75" customHeight="1" x14ac:dyDescent="0.25">
      <c r="A456" s="115"/>
      <c r="B456" s="115"/>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row>
    <row r="457" spans="1:26" ht="15.75" customHeight="1" x14ac:dyDescent="0.25">
      <c r="A457" s="115"/>
      <c r="B457" s="115"/>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row>
    <row r="458" spans="1:26" ht="15.75" customHeight="1" x14ac:dyDescent="0.25">
      <c r="A458" s="115"/>
      <c r="B458" s="115"/>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row>
    <row r="459" spans="1:26" ht="15.75" customHeight="1" x14ac:dyDescent="0.25">
      <c r="A459" s="115"/>
      <c r="B459" s="115"/>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row>
    <row r="460" spans="1:26" ht="15.75" customHeight="1" x14ac:dyDescent="0.25">
      <c r="A460" s="115"/>
      <c r="B460" s="115"/>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row>
    <row r="461" spans="1:26" ht="15.75" customHeight="1" x14ac:dyDescent="0.25">
      <c r="A461" s="115"/>
      <c r="B461" s="115"/>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row>
    <row r="462" spans="1:26" ht="15.75" customHeight="1" x14ac:dyDescent="0.25">
      <c r="A462" s="115"/>
      <c r="B462" s="115"/>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row>
    <row r="463" spans="1:26" ht="15.75" customHeight="1" x14ac:dyDescent="0.25">
      <c r="A463" s="115"/>
      <c r="B463" s="115"/>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row>
    <row r="464" spans="1:26" ht="15.75" customHeight="1" x14ac:dyDescent="0.25">
      <c r="A464" s="115"/>
      <c r="B464" s="115"/>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row>
    <row r="465" spans="1:26" ht="15.75" customHeight="1" x14ac:dyDescent="0.25">
      <c r="A465" s="115"/>
      <c r="B465" s="115"/>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row>
    <row r="466" spans="1:26" ht="15.75" customHeight="1" x14ac:dyDescent="0.25">
      <c r="A466" s="115"/>
      <c r="B466" s="115"/>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row>
    <row r="467" spans="1:26" ht="15.75" customHeight="1" x14ac:dyDescent="0.25">
      <c r="A467" s="115"/>
      <c r="B467" s="115"/>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row>
    <row r="468" spans="1:26" ht="15.75" customHeight="1" x14ac:dyDescent="0.25">
      <c r="A468" s="115"/>
      <c r="B468" s="115"/>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row>
    <row r="469" spans="1:26" ht="15.75" customHeight="1" x14ac:dyDescent="0.25">
      <c r="A469" s="115"/>
      <c r="B469" s="115"/>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row>
    <row r="470" spans="1:26" ht="15.75" customHeight="1" x14ac:dyDescent="0.25">
      <c r="A470" s="115"/>
      <c r="B470" s="115"/>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row>
    <row r="471" spans="1:26" ht="15.75" customHeight="1" x14ac:dyDescent="0.25">
      <c r="A471" s="115"/>
      <c r="B471" s="115"/>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row>
    <row r="472" spans="1:26" ht="15.75" customHeight="1" x14ac:dyDescent="0.25">
      <c r="A472" s="115"/>
      <c r="B472" s="115"/>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row>
    <row r="473" spans="1:26" ht="15.75" customHeight="1" x14ac:dyDescent="0.25">
      <c r="A473" s="115"/>
      <c r="B473" s="115"/>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row>
    <row r="474" spans="1:26" ht="15.75" customHeight="1" x14ac:dyDescent="0.25">
      <c r="A474" s="115"/>
      <c r="B474" s="115"/>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row>
    <row r="475" spans="1:26" ht="15.75" customHeight="1" x14ac:dyDescent="0.25">
      <c r="A475" s="115"/>
      <c r="B475" s="115"/>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row>
    <row r="476" spans="1:26" ht="15.75" customHeight="1" x14ac:dyDescent="0.25">
      <c r="A476" s="115"/>
      <c r="B476" s="115"/>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row>
    <row r="477" spans="1:26" ht="15.75" customHeight="1" x14ac:dyDescent="0.25">
      <c r="A477" s="115"/>
      <c r="B477" s="115"/>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row>
    <row r="478" spans="1:26" ht="15.75" customHeight="1" x14ac:dyDescent="0.25">
      <c r="A478" s="115"/>
      <c r="B478" s="115"/>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row>
    <row r="479" spans="1:26" ht="15.75" customHeight="1" x14ac:dyDescent="0.25">
      <c r="A479" s="115"/>
      <c r="B479" s="115"/>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row>
    <row r="480" spans="1:26" ht="15.75" customHeight="1" x14ac:dyDescent="0.25">
      <c r="A480" s="115"/>
      <c r="B480" s="115"/>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row>
    <row r="481" spans="1:26" ht="15.75" customHeight="1" x14ac:dyDescent="0.25">
      <c r="A481" s="115"/>
      <c r="B481" s="115"/>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row>
    <row r="482" spans="1:26" ht="15.75" customHeight="1" x14ac:dyDescent="0.25">
      <c r="A482" s="115"/>
      <c r="B482" s="115"/>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row>
    <row r="483" spans="1:26" ht="15.75" customHeight="1" x14ac:dyDescent="0.25">
      <c r="A483" s="115"/>
      <c r="B483" s="115"/>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row>
    <row r="484" spans="1:26" ht="15.75" customHeight="1" x14ac:dyDescent="0.25">
      <c r="A484" s="115"/>
      <c r="B484" s="115"/>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row>
    <row r="485" spans="1:26" ht="15.75" customHeight="1" x14ac:dyDescent="0.25">
      <c r="A485" s="115"/>
      <c r="B485" s="115"/>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row>
    <row r="486" spans="1:26" ht="15.75" customHeight="1" x14ac:dyDescent="0.25">
      <c r="A486" s="115"/>
      <c r="B486" s="115"/>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row>
    <row r="487" spans="1:26" ht="15.75" customHeight="1" x14ac:dyDescent="0.25">
      <c r="A487" s="115"/>
      <c r="B487" s="115"/>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row>
    <row r="488" spans="1:26" ht="15.75" customHeight="1" x14ac:dyDescent="0.25">
      <c r="A488" s="115"/>
      <c r="B488" s="115"/>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row>
    <row r="489" spans="1:26" ht="15.75" customHeight="1" x14ac:dyDescent="0.25">
      <c r="A489" s="115"/>
      <c r="B489" s="115"/>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row>
    <row r="490" spans="1:26" ht="15.75" customHeight="1" x14ac:dyDescent="0.25">
      <c r="A490" s="115"/>
      <c r="B490" s="115"/>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row>
    <row r="491" spans="1:26" ht="15.75" customHeight="1" x14ac:dyDescent="0.25">
      <c r="A491" s="115"/>
      <c r="B491" s="115"/>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row>
    <row r="492" spans="1:26" ht="15.75" customHeight="1" x14ac:dyDescent="0.25">
      <c r="A492" s="115"/>
      <c r="B492" s="115"/>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row>
    <row r="493" spans="1:26" ht="15.75" customHeight="1" x14ac:dyDescent="0.25">
      <c r="A493" s="115"/>
      <c r="B493" s="115"/>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row>
    <row r="494" spans="1:26" ht="15.75" customHeight="1" x14ac:dyDescent="0.25">
      <c r="A494" s="115"/>
      <c r="B494" s="115"/>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row>
    <row r="495" spans="1:26" ht="15.75" customHeight="1" x14ac:dyDescent="0.25">
      <c r="A495" s="115"/>
      <c r="B495" s="115"/>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row>
    <row r="496" spans="1:26" ht="15.75" customHeight="1" x14ac:dyDescent="0.25">
      <c r="A496" s="115"/>
      <c r="B496" s="115"/>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row>
    <row r="497" spans="1:26" ht="15.75" customHeight="1" x14ac:dyDescent="0.25">
      <c r="A497" s="115"/>
      <c r="B497" s="115"/>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row>
    <row r="498" spans="1:26" ht="15.75" customHeight="1" x14ac:dyDescent="0.25">
      <c r="A498" s="115"/>
      <c r="B498" s="115"/>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row>
    <row r="499" spans="1:26" ht="15.75" customHeight="1" x14ac:dyDescent="0.25">
      <c r="A499" s="115"/>
      <c r="B499" s="115"/>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row>
    <row r="500" spans="1:26" ht="15.75" customHeight="1" x14ac:dyDescent="0.25">
      <c r="A500" s="115"/>
      <c r="B500" s="115"/>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row>
    <row r="501" spans="1:26" ht="15.75" customHeight="1" x14ac:dyDescent="0.25">
      <c r="A501" s="115"/>
      <c r="B501" s="115"/>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row>
    <row r="502" spans="1:26" ht="15.75" customHeight="1" x14ac:dyDescent="0.25">
      <c r="A502" s="115"/>
      <c r="B502" s="115"/>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row>
    <row r="503" spans="1:26" ht="15.75" customHeight="1" x14ac:dyDescent="0.25">
      <c r="A503" s="115"/>
      <c r="B503" s="115"/>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row>
    <row r="504" spans="1:26" ht="15.75" customHeight="1" x14ac:dyDescent="0.25">
      <c r="A504" s="115"/>
      <c r="B504" s="115"/>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row>
    <row r="505" spans="1:26" ht="15.75" customHeight="1" x14ac:dyDescent="0.25">
      <c r="A505" s="115"/>
      <c r="B505" s="115"/>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row>
    <row r="506" spans="1:26" ht="15.75" customHeight="1" x14ac:dyDescent="0.25">
      <c r="A506" s="115"/>
      <c r="B506" s="115"/>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row>
    <row r="507" spans="1:26" ht="15.75" customHeight="1" x14ac:dyDescent="0.25">
      <c r="A507" s="115"/>
      <c r="B507" s="115"/>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row>
    <row r="508" spans="1:26" ht="15.75" customHeight="1" x14ac:dyDescent="0.25">
      <c r="A508" s="115"/>
      <c r="B508" s="115"/>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row>
    <row r="509" spans="1:26" ht="15.75" customHeight="1" x14ac:dyDescent="0.25">
      <c r="A509" s="115"/>
      <c r="B509" s="115"/>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row>
    <row r="510" spans="1:26" ht="15.75" customHeight="1" x14ac:dyDescent="0.25">
      <c r="A510" s="115"/>
      <c r="B510" s="115"/>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row>
    <row r="511" spans="1:26" ht="15.75" customHeight="1" x14ac:dyDescent="0.25">
      <c r="A511" s="115"/>
      <c r="B511" s="115"/>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row>
    <row r="512" spans="1:26" ht="15.75" customHeight="1" x14ac:dyDescent="0.25">
      <c r="A512" s="115"/>
      <c r="B512" s="115"/>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row>
    <row r="513" spans="1:26" ht="15.75" customHeight="1" x14ac:dyDescent="0.25">
      <c r="A513" s="115"/>
      <c r="B513" s="115"/>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row>
    <row r="514" spans="1:26" ht="15.75" customHeight="1" x14ac:dyDescent="0.25">
      <c r="A514" s="115"/>
      <c r="B514" s="115"/>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row>
    <row r="515" spans="1:26" ht="15.75" customHeight="1" x14ac:dyDescent="0.25">
      <c r="A515" s="115"/>
      <c r="B515" s="115"/>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row>
    <row r="516" spans="1:26" ht="15.75" customHeight="1" x14ac:dyDescent="0.25">
      <c r="A516" s="115"/>
      <c r="B516" s="115"/>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row>
    <row r="517" spans="1:26" ht="15.75" customHeight="1" x14ac:dyDescent="0.25">
      <c r="A517" s="115"/>
      <c r="B517" s="115"/>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row>
    <row r="518" spans="1:26" ht="15.75" customHeight="1" x14ac:dyDescent="0.25">
      <c r="A518" s="115"/>
      <c r="B518" s="115"/>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row>
    <row r="519" spans="1:26" ht="15.75" customHeight="1" x14ac:dyDescent="0.25">
      <c r="A519" s="115"/>
      <c r="B519" s="115"/>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row>
    <row r="520" spans="1:26" ht="15.75" customHeight="1" x14ac:dyDescent="0.25">
      <c r="A520" s="115"/>
      <c r="B520" s="115"/>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row>
    <row r="521" spans="1:26" ht="15.75" customHeight="1" x14ac:dyDescent="0.25">
      <c r="A521" s="115"/>
      <c r="B521" s="115"/>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row>
    <row r="522" spans="1:26" ht="15.75" customHeight="1" x14ac:dyDescent="0.25">
      <c r="A522" s="115"/>
      <c r="B522" s="115"/>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row>
    <row r="523" spans="1:26" ht="15.75" customHeight="1" x14ac:dyDescent="0.25">
      <c r="A523" s="115"/>
      <c r="B523" s="115"/>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row>
    <row r="524" spans="1:26" ht="15.75" customHeight="1" x14ac:dyDescent="0.25">
      <c r="A524" s="115"/>
      <c r="B524" s="115"/>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row>
    <row r="525" spans="1:26" ht="15.75" customHeight="1" x14ac:dyDescent="0.25">
      <c r="A525" s="115"/>
      <c r="B525" s="115"/>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row>
    <row r="526" spans="1:26" ht="15.75" customHeight="1" x14ac:dyDescent="0.25">
      <c r="A526" s="115"/>
      <c r="B526" s="115"/>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row>
    <row r="527" spans="1:26" ht="15.75" customHeight="1" x14ac:dyDescent="0.25">
      <c r="A527" s="115"/>
      <c r="B527" s="115"/>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row>
    <row r="528" spans="1:26" ht="15.75" customHeight="1" x14ac:dyDescent="0.25">
      <c r="A528" s="115"/>
      <c r="B528" s="115"/>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row>
    <row r="529" spans="1:26" ht="15.75" customHeight="1" x14ac:dyDescent="0.25">
      <c r="A529" s="115"/>
      <c r="B529" s="115"/>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row>
    <row r="530" spans="1:26" ht="15.75" customHeight="1" x14ac:dyDescent="0.25">
      <c r="A530" s="115"/>
      <c r="B530" s="115"/>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row>
    <row r="531" spans="1:26" ht="15.75" customHeight="1" x14ac:dyDescent="0.25">
      <c r="A531" s="115"/>
      <c r="B531" s="115"/>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row>
    <row r="532" spans="1:26" ht="15.75" customHeight="1" x14ac:dyDescent="0.25">
      <c r="A532" s="115"/>
      <c r="B532" s="115"/>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row>
    <row r="533" spans="1:26" ht="15.75" customHeight="1" x14ac:dyDescent="0.25">
      <c r="A533" s="115"/>
      <c r="B533" s="115"/>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row>
    <row r="534" spans="1:26" ht="15.75" customHeight="1" x14ac:dyDescent="0.25">
      <c r="A534" s="115"/>
      <c r="B534" s="115"/>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row>
    <row r="535" spans="1:26" ht="15.75" customHeight="1" x14ac:dyDescent="0.25">
      <c r="A535" s="115"/>
      <c r="B535" s="115"/>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row>
    <row r="536" spans="1:26" ht="15.75" customHeight="1" x14ac:dyDescent="0.25">
      <c r="A536" s="115"/>
      <c r="B536" s="115"/>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row>
    <row r="537" spans="1:26" ht="15.75" customHeight="1" x14ac:dyDescent="0.25">
      <c r="A537" s="115"/>
      <c r="B537" s="115"/>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row>
    <row r="538" spans="1:26" ht="15.75" customHeight="1" x14ac:dyDescent="0.25">
      <c r="A538" s="115"/>
      <c r="B538" s="115"/>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row>
    <row r="539" spans="1:26" ht="15.75" customHeight="1" x14ac:dyDescent="0.25">
      <c r="A539" s="115"/>
      <c r="B539" s="115"/>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row>
    <row r="540" spans="1:26" ht="15.75" customHeight="1" x14ac:dyDescent="0.25">
      <c r="A540" s="115"/>
      <c r="B540" s="115"/>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row>
    <row r="541" spans="1:26" ht="15.75" customHeight="1" x14ac:dyDescent="0.25">
      <c r="A541" s="115"/>
      <c r="B541" s="115"/>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row>
    <row r="542" spans="1:26" ht="15.75" customHeight="1" x14ac:dyDescent="0.25">
      <c r="A542" s="115"/>
      <c r="B542" s="115"/>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row>
    <row r="543" spans="1:26" ht="15.75" customHeight="1" x14ac:dyDescent="0.25">
      <c r="A543" s="115"/>
      <c r="B543" s="115"/>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row>
    <row r="544" spans="1:26" ht="15.75" customHeight="1" x14ac:dyDescent="0.25">
      <c r="A544" s="115"/>
      <c r="B544" s="115"/>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row>
    <row r="545" spans="1:26" ht="15.75" customHeight="1" x14ac:dyDescent="0.25">
      <c r="A545" s="115"/>
      <c r="B545" s="115"/>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row>
    <row r="546" spans="1:26" ht="15.75" customHeight="1" x14ac:dyDescent="0.25">
      <c r="A546" s="115"/>
      <c r="B546" s="115"/>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row>
    <row r="547" spans="1:26" ht="15.75" customHeight="1" x14ac:dyDescent="0.25">
      <c r="A547" s="115"/>
      <c r="B547" s="115"/>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row>
    <row r="548" spans="1:26" ht="15.75" customHeight="1" x14ac:dyDescent="0.25">
      <c r="A548" s="115"/>
      <c r="B548" s="115"/>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row>
    <row r="549" spans="1:26" ht="15.75" customHeight="1" x14ac:dyDescent="0.25">
      <c r="A549" s="115"/>
      <c r="B549" s="115"/>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row>
    <row r="550" spans="1:26" ht="15.75" customHeight="1" x14ac:dyDescent="0.25">
      <c r="A550" s="115"/>
      <c r="B550" s="115"/>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row>
    <row r="551" spans="1:26" ht="15.75" customHeight="1" x14ac:dyDescent="0.25">
      <c r="A551" s="115"/>
      <c r="B551" s="115"/>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row>
    <row r="552" spans="1:26" ht="15.75" customHeight="1" x14ac:dyDescent="0.25">
      <c r="A552" s="115"/>
      <c r="B552" s="115"/>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row>
    <row r="553" spans="1:26" ht="15.75" customHeight="1" x14ac:dyDescent="0.25">
      <c r="A553" s="115"/>
      <c r="B553" s="115"/>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row>
    <row r="554" spans="1:26" ht="15.75" customHeight="1" x14ac:dyDescent="0.25">
      <c r="A554" s="115"/>
      <c r="B554" s="115"/>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row>
    <row r="555" spans="1:26" ht="15.75" customHeight="1" x14ac:dyDescent="0.25">
      <c r="A555" s="115"/>
      <c r="B555" s="115"/>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row>
    <row r="556" spans="1:26" ht="15.75" customHeight="1" x14ac:dyDescent="0.25">
      <c r="A556" s="115"/>
      <c r="B556" s="115"/>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row>
    <row r="557" spans="1:26" ht="15.75" customHeight="1" x14ac:dyDescent="0.25">
      <c r="A557" s="115"/>
      <c r="B557" s="115"/>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row>
    <row r="558" spans="1:26" ht="15.75" customHeight="1" x14ac:dyDescent="0.25">
      <c r="A558" s="115"/>
      <c r="B558" s="115"/>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row>
    <row r="559" spans="1:26" ht="15.75" customHeight="1" x14ac:dyDescent="0.25">
      <c r="A559" s="115"/>
      <c r="B559" s="115"/>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row>
    <row r="560" spans="1:26" ht="15.75" customHeight="1" x14ac:dyDescent="0.25">
      <c r="A560" s="115"/>
      <c r="B560" s="115"/>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row>
    <row r="561" spans="1:26" ht="15.75" customHeight="1" x14ac:dyDescent="0.25">
      <c r="A561" s="115"/>
      <c r="B561" s="115"/>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row>
    <row r="562" spans="1:26" ht="15.75" customHeight="1" x14ac:dyDescent="0.25">
      <c r="A562" s="115"/>
      <c r="B562" s="115"/>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row>
    <row r="563" spans="1:26" ht="15.75" customHeight="1" x14ac:dyDescent="0.25">
      <c r="A563" s="115"/>
      <c r="B563" s="115"/>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row>
    <row r="564" spans="1:26" ht="15.75" customHeight="1" x14ac:dyDescent="0.25">
      <c r="A564" s="115"/>
      <c r="B564" s="115"/>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row>
    <row r="565" spans="1:26" ht="15.75" customHeight="1" x14ac:dyDescent="0.25">
      <c r="A565" s="115"/>
      <c r="B565" s="115"/>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row>
    <row r="566" spans="1:26" ht="15.75" customHeight="1" x14ac:dyDescent="0.25">
      <c r="A566" s="115"/>
      <c r="B566" s="115"/>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row>
    <row r="567" spans="1:26" ht="15.75" customHeight="1" x14ac:dyDescent="0.25">
      <c r="A567" s="115"/>
      <c r="B567" s="115"/>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row>
    <row r="568" spans="1:26" ht="15.75" customHeight="1" x14ac:dyDescent="0.25">
      <c r="A568" s="115"/>
      <c r="B568" s="115"/>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row>
    <row r="569" spans="1:26" ht="15.75" customHeight="1" x14ac:dyDescent="0.25">
      <c r="A569" s="115"/>
      <c r="B569" s="115"/>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row>
    <row r="570" spans="1:26" ht="15.75" customHeight="1" x14ac:dyDescent="0.25">
      <c r="A570" s="115"/>
      <c r="B570" s="115"/>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row>
    <row r="571" spans="1:26" ht="15.75" customHeight="1" x14ac:dyDescent="0.25">
      <c r="A571" s="115"/>
      <c r="B571" s="115"/>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row>
    <row r="572" spans="1:26" ht="15.75" customHeight="1" x14ac:dyDescent="0.25">
      <c r="A572" s="115"/>
      <c r="B572" s="115"/>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row>
    <row r="573" spans="1:26" ht="15.75" customHeight="1" x14ac:dyDescent="0.25">
      <c r="A573" s="115"/>
      <c r="B573" s="115"/>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row>
    <row r="574" spans="1:26" ht="15.75" customHeight="1" x14ac:dyDescent="0.25">
      <c r="A574" s="115"/>
      <c r="B574" s="115"/>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row>
    <row r="575" spans="1:26" ht="15.75" customHeight="1" x14ac:dyDescent="0.25">
      <c r="A575" s="115"/>
      <c r="B575" s="115"/>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row>
    <row r="576" spans="1:26" ht="15.75" customHeight="1" x14ac:dyDescent="0.25">
      <c r="A576" s="115"/>
      <c r="B576" s="115"/>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row>
    <row r="577" spans="1:26" ht="15.75" customHeight="1" x14ac:dyDescent="0.25">
      <c r="A577" s="115"/>
      <c r="B577" s="115"/>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row>
    <row r="578" spans="1:26" ht="15.75" customHeight="1" x14ac:dyDescent="0.25">
      <c r="A578" s="115"/>
      <c r="B578" s="115"/>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row>
    <row r="579" spans="1:26" ht="15.75" customHeight="1" x14ac:dyDescent="0.25">
      <c r="A579" s="115"/>
      <c r="B579" s="115"/>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row>
    <row r="580" spans="1:26" ht="15.75" customHeight="1" x14ac:dyDescent="0.25">
      <c r="A580" s="115"/>
      <c r="B580" s="115"/>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row>
    <row r="581" spans="1:26" ht="15.75" customHeight="1" x14ac:dyDescent="0.25">
      <c r="A581" s="115"/>
      <c r="B581" s="115"/>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5"/>
    </row>
    <row r="582" spans="1:26" ht="15.75" customHeight="1" x14ac:dyDescent="0.25">
      <c r="A582" s="115"/>
      <c r="B582" s="115"/>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c r="Z582" s="115"/>
    </row>
    <row r="583" spans="1:26" ht="15.75" customHeight="1" x14ac:dyDescent="0.25">
      <c r="A583" s="115"/>
      <c r="B583" s="115"/>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c r="Z583" s="115"/>
    </row>
    <row r="584" spans="1:26" ht="15.75" customHeight="1" x14ac:dyDescent="0.25">
      <c r="A584" s="115"/>
      <c r="B584" s="115"/>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row>
    <row r="585" spans="1:26" ht="15.75" customHeight="1" x14ac:dyDescent="0.25">
      <c r="A585" s="115"/>
      <c r="B585" s="115"/>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c r="Z585" s="115"/>
    </row>
    <row r="586" spans="1:26" ht="15.75" customHeight="1" x14ac:dyDescent="0.25">
      <c r="A586" s="115"/>
      <c r="B586" s="115"/>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c r="Z586" s="115"/>
    </row>
    <row r="587" spans="1:26" ht="15.75" customHeight="1" x14ac:dyDescent="0.25">
      <c r="A587" s="115"/>
      <c r="B587" s="115"/>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c r="Z587" s="115"/>
    </row>
    <row r="588" spans="1:26" ht="15.75" customHeight="1" x14ac:dyDescent="0.25">
      <c r="A588" s="115"/>
      <c r="B588" s="115"/>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row>
    <row r="589" spans="1:26" ht="15.75" customHeight="1" x14ac:dyDescent="0.25">
      <c r="A589" s="115"/>
      <c r="B589" s="115"/>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c r="Z589" s="115"/>
    </row>
    <row r="590" spans="1:26" ht="15.75" customHeight="1" x14ac:dyDescent="0.25">
      <c r="A590" s="115"/>
      <c r="B590" s="115"/>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c r="Z590" s="115"/>
    </row>
    <row r="591" spans="1:26" ht="15.75" customHeight="1" x14ac:dyDescent="0.25">
      <c r="A591" s="115"/>
      <c r="B591" s="115"/>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c r="Z591" s="115"/>
    </row>
    <row r="592" spans="1:26" ht="15.75" customHeight="1" x14ac:dyDescent="0.25">
      <c r="A592" s="115"/>
      <c r="B592" s="115"/>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row>
    <row r="593" spans="1:26" ht="15.75" customHeight="1" x14ac:dyDescent="0.25">
      <c r="A593" s="115"/>
      <c r="B593" s="115"/>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c r="Z593" s="115"/>
    </row>
    <row r="594" spans="1:26" ht="15.75" customHeight="1" x14ac:dyDescent="0.25">
      <c r="A594" s="115"/>
      <c r="B594" s="115"/>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c r="Z594" s="115"/>
    </row>
    <row r="595" spans="1:26" ht="15.75" customHeight="1" x14ac:dyDescent="0.25">
      <c r="A595" s="115"/>
      <c r="B595" s="115"/>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c r="Z595" s="115"/>
    </row>
    <row r="596" spans="1:26" ht="15.75" customHeight="1" x14ac:dyDescent="0.25">
      <c r="A596" s="115"/>
      <c r="B596" s="115"/>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c r="Z596" s="115"/>
    </row>
    <row r="597" spans="1:26" ht="15.75" customHeight="1" x14ac:dyDescent="0.25">
      <c r="A597" s="115"/>
      <c r="B597" s="115"/>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c r="Z597" s="115"/>
    </row>
    <row r="598" spans="1:26" ht="15.75" customHeight="1" x14ac:dyDescent="0.25">
      <c r="A598" s="115"/>
      <c r="B598" s="115"/>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5"/>
    </row>
    <row r="599" spans="1:26" ht="15.75" customHeight="1" x14ac:dyDescent="0.25">
      <c r="A599" s="115"/>
      <c r="B599" s="115"/>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c r="Z599" s="115"/>
    </row>
    <row r="600" spans="1:26" ht="15.75" customHeight="1" x14ac:dyDescent="0.25">
      <c r="A600" s="115"/>
      <c r="B600" s="115"/>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c r="Z600" s="115"/>
    </row>
    <row r="601" spans="1:26" ht="15.75" customHeight="1" x14ac:dyDescent="0.25">
      <c r="A601" s="115"/>
      <c r="B601" s="115"/>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c r="Z601" s="115"/>
    </row>
    <row r="602" spans="1:26" ht="15.75" customHeight="1" x14ac:dyDescent="0.25">
      <c r="A602" s="115"/>
      <c r="B602" s="115"/>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row>
    <row r="603" spans="1:26" ht="15.75" customHeight="1" x14ac:dyDescent="0.25">
      <c r="A603" s="115"/>
      <c r="B603" s="115"/>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c r="Z603" s="115"/>
    </row>
    <row r="604" spans="1:26" ht="15.75" customHeight="1" x14ac:dyDescent="0.25">
      <c r="A604" s="115"/>
      <c r="B604" s="115"/>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c r="Z604" s="115"/>
    </row>
    <row r="605" spans="1:26" ht="15.75" customHeight="1" x14ac:dyDescent="0.25">
      <c r="A605" s="115"/>
      <c r="B605" s="115"/>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c r="Z605" s="115"/>
    </row>
    <row r="606" spans="1:26" ht="15.75" customHeight="1" x14ac:dyDescent="0.25">
      <c r="A606" s="115"/>
      <c r="B606" s="115"/>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row>
    <row r="607" spans="1:26" ht="15.75" customHeight="1" x14ac:dyDescent="0.25">
      <c r="A607" s="115"/>
      <c r="B607" s="115"/>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c r="Z607" s="115"/>
    </row>
    <row r="608" spans="1:26" ht="15.75" customHeight="1" x14ac:dyDescent="0.25">
      <c r="A608" s="115"/>
      <c r="B608" s="115"/>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c r="Z608" s="115"/>
    </row>
    <row r="609" spans="1:26" ht="15.75" customHeight="1" x14ac:dyDescent="0.25">
      <c r="A609" s="115"/>
      <c r="B609" s="115"/>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c r="Z609" s="115"/>
    </row>
    <row r="610" spans="1:26" ht="15.75" customHeight="1" x14ac:dyDescent="0.25">
      <c r="A610" s="115"/>
      <c r="B610" s="115"/>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row>
    <row r="611" spans="1:26" ht="15.75" customHeight="1" x14ac:dyDescent="0.25">
      <c r="A611" s="115"/>
      <c r="B611" s="115"/>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c r="Z611" s="115"/>
    </row>
    <row r="612" spans="1:26" ht="15.75" customHeight="1" x14ac:dyDescent="0.25">
      <c r="A612" s="115"/>
      <c r="B612" s="115"/>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c r="Z612" s="115"/>
    </row>
    <row r="613" spans="1:26" ht="15.75" customHeight="1" x14ac:dyDescent="0.25">
      <c r="A613" s="115"/>
      <c r="B613" s="115"/>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c r="Z613" s="115"/>
    </row>
    <row r="614" spans="1:26" ht="15.75" customHeight="1" x14ac:dyDescent="0.25">
      <c r="A614" s="115"/>
      <c r="B614" s="115"/>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row>
    <row r="615" spans="1:26" ht="15.75" customHeight="1" x14ac:dyDescent="0.25">
      <c r="A615" s="115"/>
      <c r="B615" s="115"/>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c r="Z615" s="115"/>
    </row>
    <row r="616" spans="1:26" ht="15.75" customHeight="1" x14ac:dyDescent="0.25">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5"/>
    </row>
    <row r="617" spans="1:26" ht="15.75" customHeight="1" x14ac:dyDescent="0.25">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5"/>
    </row>
    <row r="618" spans="1:26" ht="15.75" customHeight="1" x14ac:dyDescent="0.25">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row>
    <row r="619" spans="1:26" ht="15.75" customHeight="1" x14ac:dyDescent="0.25">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5"/>
    </row>
    <row r="620" spans="1:26" ht="15.75" customHeight="1" x14ac:dyDescent="0.25">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c r="Z620" s="115"/>
    </row>
    <row r="621" spans="1:26" ht="15.75" customHeight="1" x14ac:dyDescent="0.25">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c r="Z621" s="115"/>
    </row>
    <row r="622" spans="1:26" ht="15.75" customHeight="1" x14ac:dyDescent="0.25">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row>
    <row r="623" spans="1:26" ht="15.75" customHeight="1" x14ac:dyDescent="0.25">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c r="Z623" s="115"/>
    </row>
    <row r="624" spans="1:26" ht="15.75" customHeight="1" x14ac:dyDescent="0.25">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c r="Z624" s="115"/>
    </row>
    <row r="625" spans="1:26" ht="15.75" customHeight="1" x14ac:dyDescent="0.25">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c r="Z625" s="115"/>
    </row>
    <row r="626" spans="1:26" ht="15.75" customHeight="1" x14ac:dyDescent="0.25">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row>
    <row r="627" spans="1:26" ht="15.75" customHeight="1" x14ac:dyDescent="0.25">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c r="Z627" s="115"/>
    </row>
    <row r="628" spans="1:26" ht="15.75" customHeight="1" x14ac:dyDescent="0.25">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c r="Z628" s="115"/>
    </row>
    <row r="629" spans="1:26" ht="15.75" customHeight="1" x14ac:dyDescent="0.25">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c r="Z629" s="115"/>
    </row>
    <row r="630" spans="1:26" ht="15.75" customHeight="1" x14ac:dyDescent="0.25">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row>
    <row r="631" spans="1:26" ht="15.75" customHeight="1" x14ac:dyDescent="0.25">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5"/>
    </row>
    <row r="632" spans="1:26" ht="15.75" customHeight="1" x14ac:dyDescent="0.25">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c r="Z632" s="115"/>
    </row>
    <row r="633" spans="1:26" ht="15.75" customHeight="1" x14ac:dyDescent="0.25">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c r="Z633" s="115"/>
    </row>
    <row r="634" spans="1:26" ht="15.75" customHeight="1" x14ac:dyDescent="0.25">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row>
    <row r="635" spans="1:26" ht="15.75" customHeight="1" x14ac:dyDescent="0.25">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c r="Z635" s="115"/>
    </row>
    <row r="636" spans="1:26" ht="15.75" customHeight="1" x14ac:dyDescent="0.25">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c r="Z636" s="115"/>
    </row>
    <row r="637" spans="1:26" ht="15.75" customHeight="1" x14ac:dyDescent="0.25">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c r="Z637" s="115"/>
    </row>
    <row r="638" spans="1:26" ht="15.75" customHeight="1" x14ac:dyDescent="0.25">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row>
    <row r="639" spans="1:26" ht="15.75" customHeight="1" x14ac:dyDescent="0.25">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c r="Z639" s="115"/>
    </row>
    <row r="640" spans="1:26" ht="15.75" customHeight="1" x14ac:dyDescent="0.25">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c r="Z640" s="115"/>
    </row>
    <row r="641" spans="1:26" ht="15.75" customHeight="1" x14ac:dyDescent="0.25">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row>
    <row r="642" spans="1:26" ht="15.75" customHeight="1" x14ac:dyDescent="0.25">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c r="Z642" s="115"/>
    </row>
    <row r="643" spans="1:26" ht="15.75" customHeight="1" x14ac:dyDescent="0.25">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c r="Z643" s="115"/>
    </row>
    <row r="644" spans="1:26" ht="15.75" customHeight="1" x14ac:dyDescent="0.25">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c r="Z644" s="115"/>
    </row>
    <row r="645" spans="1:26" ht="15.75" customHeight="1" x14ac:dyDescent="0.25">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row>
    <row r="646" spans="1:26" ht="15.75" customHeight="1" x14ac:dyDescent="0.25">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c r="Z646" s="115"/>
    </row>
    <row r="647" spans="1:26" ht="15.75" customHeight="1" x14ac:dyDescent="0.25">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c r="Z647" s="115"/>
    </row>
    <row r="648" spans="1:26" ht="15.75" customHeight="1" x14ac:dyDescent="0.25">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c r="Z648" s="115"/>
    </row>
    <row r="649" spans="1:26" ht="15.75" customHeight="1" x14ac:dyDescent="0.25">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row>
    <row r="650" spans="1:26" ht="15.75" customHeight="1" x14ac:dyDescent="0.25">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c r="Z650" s="115"/>
    </row>
    <row r="651" spans="1:26" ht="15.75" customHeight="1" x14ac:dyDescent="0.25">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c r="Z651" s="115"/>
    </row>
    <row r="652" spans="1:26" ht="15.75" customHeight="1" x14ac:dyDescent="0.25">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row>
    <row r="653" spans="1:26" ht="15.75" customHeight="1" x14ac:dyDescent="0.25">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row>
    <row r="654" spans="1:26" ht="15.75" customHeight="1" x14ac:dyDescent="0.25">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row>
    <row r="655" spans="1:26" ht="15.75" customHeight="1" x14ac:dyDescent="0.25">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row>
    <row r="656" spans="1:26" ht="15.75" customHeight="1" x14ac:dyDescent="0.25">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row>
    <row r="657" spans="1:26" ht="15.75" customHeight="1" x14ac:dyDescent="0.25">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row>
    <row r="658" spans="1:26" ht="15.75" customHeight="1" x14ac:dyDescent="0.25">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row>
    <row r="659" spans="1:26" ht="15.75" customHeight="1" x14ac:dyDescent="0.25">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row>
    <row r="660" spans="1:26" ht="15.75" customHeight="1" x14ac:dyDescent="0.25">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row>
    <row r="661" spans="1:26" ht="15.75" customHeight="1" x14ac:dyDescent="0.25">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row>
    <row r="662" spans="1:26" ht="15.75" customHeight="1" x14ac:dyDescent="0.25">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row>
    <row r="663" spans="1:26" ht="15.75" customHeight="1" x14ac:dyDescent="0.25">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row>
    <row r="664" spans="1:26" ht="15.75" customHeight="1" x14ac:dyDescent="0.25">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row>
    <row r="665" spans="1:26" ht="15.75" customHeight="1" x14ac:dyDescent="0.25">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row>
    <row r="666" spans="1:26" ht="15.75" customHeight="1" x14ac:dyDescent="0.25">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row>
    <row r="667" spans="1:26" ht="15.75" customHeight="1" x14ac:dyDescent="0.25">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row>
    <row r="668" spans="1:26" ht="15.75" customHeight="1" x14ac:dyDescent="0.25">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row>
    <row r="669" spans="1:26" ht="15.75" customHeight="1" x14ac:dyDescent="0.25">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row>
    <row r="670" spans="1:26" ht="15.75" customHeight="1" x14ac:dyDescent="0.25">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row>
    <row r="671" spans="1:26" ht="15.75" customHeight="1" x14ac:dyDescent="0.25">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row>
    <row r="672" spans="1:26" ht="15.75" customHeight="1" x14ac:dyDescent="0.25">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row>
    <row r="673" spans="1:26" ht="15.75" customHeight="1" x14ac:dyDescent="0.25">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row>
    <row r="674" spans="1:26" ht="15.75" customHeight="1" x14ac:dyDescent="0.25">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row>
    <row r="675" spans="1:26" ht="15.75" customHeight="1" x14ac:dyDescent="0.25">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c r="Z675" s="115"/>
    </row>
    <row r="676" spans="1:26" ht="15.75" customHeight="1" x14ac:dyDescent="0.25">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row>
    <row r="677" spans="1:26" ht="15.75" customHeight="1" x14ac:dyDescent="0.25">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c r="Z677" s="115"/>
    </row>
    <row r="678" spans="1:26" ht="15.75" customHeight="1" x14ac:dyDescent="0.25">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row>
    <row r="679" spans="1:26" ht="15.75" customHeight="1" x14ac:dyDescent="0.25">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c r="Z679" s="115"/>
    </row>
    <row r="680" spans="1:26" ht="15.75" customHeight="1" x14ac:dyDescent="0.25">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row>
    <row r="681" spans="1:26" ht="15.75" customHeight="1" x14ac:dyDescent="0.25">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c r="Z681" s="115"/>
    </row>
    <row r="682" spans="1:26" ht="15.75" customHeight="1" x14ac:dyDescent="0.25">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row>
    <row r="683" spans="1:26" ht="15.75" customHeight="1" x14ac:dyDescent="0.25">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c r="Z683" s="115"/>
    </row>
    <row r="684" spans="1:26" ht="15.75" customHeight="1" x14ac:dyDescent="0.25">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c r="Z684" s="115"/>
    </row>
    <row r="685" spans="1:26" ht="15.75" customHeight="1" x14ac:dyDescent="0.25">
      <c r="A685" s="115"/>
      <c r="B685" s="115"/>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c r="Z685" s="115"/>
    </row>
    <row r="686" spans="1:26" ht="15.75" customHeight="1" x14ac:dyDescent="0.25">
      <c r="A686" s="115"/>
      <c r="B686" s="115"/>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row>
    <row r="687" spans="1:26" ht="15.75" customHeight="1" x14ac:dyDescent="0.25">
      <c r="A687" s="115"/>
      <c r="B687" s="115"/>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5"/>
    </row>
    <row r="688" spans="1:26" ht="15.75" customHeight="1" x14ac:dyDescent="0.25">
      <c r="A688" s="115"/>
      <c r="B688" s="115"/>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5"/>
    </row>
    <row r="689" spans="1:26" ht="15.75" customHeight="1" x14ac:dyDescent="0.25">
      <c r="A689" s="115"/>
      <c r="B689" s="115"/>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5"/>
    </row>
    <row r="690" spans="1:26" ht="15.75" customHeight="1" x14ac:dyDescent="0.25">
      <c r="A690" s="115"/>
      <c r="B690" s="115"/>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row>
    <row r="691" spans="1:26" ht="15.75" customHeight="1" x14ac:dyDescent="0.25">
      <c r="A691" s="115"/>
      <c r="B691" s="115"/>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5"/>
    </row>
    <row r="692" spans="1:26" ht="15.75" customHeight="1" x14ac:dyDescent="0.25">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5"/>
    </row>
    <row r="693" spans="1:26" ht="15.75" customHeight="1" x14ac:dyDescent="0.25">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c r="Z693" s="115"/>
    </row>
    <row r="694" spans="1:26" ht="15.75" customHeight="1" x14ac:dyDescent="0.25">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row>
    <row r="695" spans="1:26" ht="15.75" customHeight="1" x14ac:dyDescent="0.25">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c r="Z695" s="115"/>
    </row>
    <row r="696" spans="1:26" ht="15.75" customHeight="1" x14ac:dyDescent="0.25">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c r="Z696" s="115"/>
    </row>
    <row r="697" spans="1:26" ht="15.75" customHeight="1" x14ac:dyDescent="0.25">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c r="Z697" s="115"/>
    </row>
    <row r="698" spans="1:26" ht="15.75" customHeight="1" x14ac:dyDescent="0.25">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row>
    <row r="699" spans="1:26" ht="15.75" customHeight="1" x14ac:dyDescent="0.25">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row>
    <row r="700" spans="1:26" ht="15.75" customHeight="1" x14ac:dyDescent="0.25">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c r="Z700" s="115"/>
    </row>
    <row r="701" spans="1:26" ht="15.75" customHeight="1" x14ac:dyDescent="0.25">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c r="Z701" s="115"/>
    </row>
    <row r="702" spans="1:26" ht="15.75" customHeight="1" x14ac:dyDescent="0.25">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row>
    <row r="703" spans="1:26" ht="15.75" customHeight="1" x14ac:dyDescent="0.25">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c r="Z703" s="115"/>
    </row>
    <row r="704" spans="1:26" ht="15.75" customHeight="1" x14ac:dyDescent="0.25">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row>
    <row r="705" spans="1:26" ht="15.75" customHeight="1" x14ac:dyDescent="0.25">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c r="Z705" s="115"/>
    </row>
    <row r="706" spans="1:26" ht="15.75" customHeight="1" x14ac:dyDescent="0.25">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row>
    <row r="707" spans="1:26" ht="15.75" customHeight="1" x14ac:dyDescent="0.25">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c r="Z707" s="115"/>
    </row>
    <row r="708" spans="1:26" ht="15.75" customHeight="1" x14ac:dyDescent="0.25">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c r="Z708" s="115"/>
    </row>
    <row r="709" spans="1:26" ht="15.75" customHeight="1" x14ac:dyDescent="0.25">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c r="Z709" s="115"/>
    </row>
    <row r="710" spans="1:26" ht="15.75" customHeight="1" x14ac:dyDescent="0.25">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5"/>
      <c r="Z710" s="115"/>
    </row>
    <row r="711" spans="1:26" ht="15.75" customHeight="1" x14ac:dyDescent="0.25">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c r="W711" s="115"/>
      <c r="X711" s="115"/>
      <c r="Y711" s="115"/>
      <c r="Z711" s="115"/>
    </row>
    <row r="712" spans="1:26" ht="15.75" customHeight="1" x14ac:dyDescent="0.25">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c r="W712" s="115"/>
      <c r="X712" s="115"/>
      <c r="Y712" s="115"/>
      <c r="Z712" s="115"/>
    </row>
    <row r="713" spans="1:26" ht="15.75" customHeight="1" x14ac:dyDescent="0.25">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c r="W713" s="115"/>
      <c r="X713" s="115"/>
      <c r="Y713" s="115"/>
      <c r="Z713" s="115"/>
    </row>
    <row r="714" spans="1:26" ht="15.75" customHeight="1" x14ac:dyDescent="0.25">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5"/>
      <c r="Z714" s="115"/>
    </row>
    <row r="715" spans="1:26" ht="15.75" customHeight="1" x14ac:dyDescent="0.25">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c r="W715" s="115"/>
      <c r="X715" s="115"/>
      <c r="Y715" s="115"/>
      <c r="Z715" s="115"/>
    </row>
    <row r="716" spans="1:26" ht="15.75" customHeight="1" x14ac:dyDescent="0.25">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c r="W716" s="115"/>
      <c r="X716" s="115"/>
      <c r="Y716" s="115"/>
      <c r="Z716" s="115"/>
    </row>
    <row r="717" spans="1:26" ht="15.75" customHeight="1" x14ac:dyDescent="0.25">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c r="W717" s="115"/>
      <c r="X717" s="115"/>
      <c r="Y717" s="115"/>
      <c r="Z717" s="115"/>
    </row>
    <row r="718" spans="1:26" ht="15.75" customHeight="1" x14ac:dyDescent="0.25">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c r="W718" s="115"/>
      <c r="X718" s="115"/>
      <c r="Y718" s="115"/>
      <c r="Z718" s="115"/>
    </row>
    <row r="719" spans="1:26" ht="15.75" customHeight="1" x14ac:dyDescent="0.25">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c r="W719" s="115"/>
      <c r="X719" s="115"/>
      <c r="Y719" s="115"/>
      <c r="Z719" s="115"/>
    </row>
    <row r="720" spans="1:26" ht="15.75" customHeight="1" x14ac:dyDescent="0.25">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c r="W720" s="115"/>
      <c r="X720" s="115"/>
      <c r="Y720" s="115"/>
      <c r="Z720" s="115"/>
    </row>
    <row r="721" spans="1:26" ht="15.75" customHeight="1" x14ac:dyDescent="0.25">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c r="W721" s="115"/>
      <c r="X721" s="115"/>
      <c r="Y721" s="115"/>
      <c r="Z721" s="115"/>
    </row>
    <row r="722" spans="1:26" ht="15.75" customHeight="1" x14ac:dyDescent="0.25">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c r="W722" s="115"/>
      <c r="X722" s="115"/>
      <c r="Y722" s="115"/>
      <c r="Z722" s="115"/>
    </row>
    <row r="723" spans="1:26" ht="15.75" customHeight="1" x14ac:dyDescent="0.25">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c r="W723" s="115"/>
      <c r="X723" s="115"/>
      <c r="Y723" s="115"/>
      <c r="Z723" s="115"/>
    </row>
    <row r="724" spans="1:26" ht="15.75" customHeight="1" x14ac:dyDescent="0.25">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c r="W724" s="115"/>
      <c r="X724" s="115"/>
      <c r="Y724" s="115"/>
      <c r="Z724" s="115"/>
    </row>
    <row r="725" spans="1:26" ht="15.75" customHeight="1" x14ac:dyDescent="0.25">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c r="W725" s="115"/>
      <c r="X725" s="115"/>
      <c r="Y725" s="115"/>
      <c r="Z725" s="115"/>
    </row>
    <row r="726" spans="1:26" ht="15.75" customHeight="1" x14ac:dyDescent="0.25">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c r="W726" s="115"/>
      <c r="X726" s="115"/>
      <c r="Y726" s="115"/>
      <c r="Z726" s="115"/>
    </row>
    <row r="727" spans="1:26" ht="15.75" customHeight="1" x14ac:dyDescent="0.25">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c r="W727" s="115"/>
      <c r="X727" s="115"/>
      <c r="Y727" s="115"/>
      <c r="Z727" s="115"/>
    </row>
    <row r="728" spans="1:26" ht="15.75" customHeight="1" x14ac:dyDescent="0.25">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c r="W728" s="115"/>
      <c r="X728" s="115"/>
      <c r="Y728" s="115"/>
      <c r="Z728" s="115"/>
    </row>
    <row r="729" spans="1:26" ht="15.75" customHeight="1" x14ac:dyDescent="0.25">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c r="W729" s="115"/>
      <c r="X729" s="115"/>
      <c r="Y729" s="115"/>
      <c r="Z729" s="115"/>
    </row>
    <row r="730" spans="1:26" ht="15.75" customHeight="1" x14ac:dyDescent="0.25">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c r="W730" s="115"/>
      <c r="X730" s="115"/>
      <c r="Y730" s="115"/>
      <c r="Z730" s="115"/>
    </row>
    <row r="731" spans="1:26" ht="15.75" customHeight="1" x14ac:dyDescent="0.25">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c r="W731" s="115"/>
      <c r="X731" s="115"/>
      <c r="Y731" s="115"/>
      <c r="Z731" s="115"/>
    </row>
    <row r="732" spans="1:26" ht="15.75" customHeight="1" x14ac:dyDescent="0.25">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c r="W732" s="115"/>
      <c r="X732" s="115"/>
      <c r="Y732" s="115"/>
      <c r="Z732" s="115"/>
    </row>
    <row r="733" spans="1:26" ht="15.75" customHeight="1" x14ac:dyDescent="0.25">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c r="W733" s="115"/>
      <c r="X733" s="115"/>
      <c r="Y733" s="115"/>
      <c r="Z733" s="115"/>
    </row>
    <row r="734" spans="1:26" ht="15.75" customHeight="1" x14ac:dyDescent="0.25">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c r="W734" s="115"/>
      <c r="X734" s="115"/>
      <c r="Y734" s="115"/>
      <c r="Z734" s="115"/>
    </row>
    <row r="735" spans="1:26" ht="15.75" customHeight="1" x14ac:dyDescent="0.25">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c r="W735" s="115"/>
      <c r="X735" s="115"/>
      <c r="Y735" s="115"/>
      <c r="Z735" s="115"/>
    </row>
    <row r="736" spans="1:26" ht="15.75" customHeight="1" x14ac:dyDescent="0.25">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c r="W736" s="115"/>
      <c r="X736" s="115"/>
      <c r="Y736" s="115"/>
      <c r="Z736" s="115"/>
    </row>
    <row r="737" spans="1:26" ht="15.75" customHeight="1" x14ac:dyDescent="0.25">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c r="W737" s="115"/>
      <c r="X737" s="115"/>
      <c r="Y737" s="115"/>
      <c r="Z737" s="115"/>
    </row>
    <row r="738" spans="1:26" ht="15.75" customHeight="1" x14ac:dyDescent="0.25">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c r="W738" s="115"/>
      <c r="X738" s="115"/>
      <c r="Y738" s="115"/>
      <c r="Z738" s="115"/>
    </row>
    <row r="739" spans="1:26" ht="15.75" customHeight="1" x14ac:dyDescent="0.25">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c r="W739" s="115"/>
      <c r="X739" s="115"/>
      <c r="Y739" s="115"/>
      <c r="Z739" s="115"/>
    </row>
    <row r="740" spans="1:26" ht="15.75" customHeight="1" x14ac:dyDescent="0.25">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c r="W740" s="115"/>
      <c r="X740" s="115"/>
      <c r="Y740" s="115"/>
      <c r="Z740" s="115"/>
    </row>
    <row r="741" spans="1:26" ht="15.75" customHeight="1" x14ac:dyDescent="0.25">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c r="W741" s="115"/>
      <c r="X741" s="115"/>
      <c r="Y741" s="115"/>
      <c r="Z741" s="115"/>
    </row>
    <row r="742" spans="1:26" ht="15.75" customHeight="1" x14ac:dyDescent="0.25">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c r="W742" s="115"/>
      <c r="X742" s="115"/>
      <c r="Y742" s="115"/>
      <c r="Z742" s="115"/>
    </row>
    <row r="743" spans="1:26" ht="15.75" customHeight="1" x14ac:dyDescent="0.25">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c r="W743" s="115"/>
      <c r="X743" s="115"/>
      <c r="Y743" s="115"/>
      <c r="Z743" s="115"/>
    </row>
    <row r="744" spans="1:26" ht="15.75" customHeight="1" x14ac:dyDescent="0.25">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c r="W744" s="115"/>
      <c r="X744" s="115"/>
      <c r="Y744" s="115"/>
      <c r="Z744" s="115"/>
    </row>
    <row r="745" spans="1:26" ht="15.75" customHeight="1" x14ac:dyDescent="0.25">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c r="W745" s="115"/>
      <c r="X745" s="115"/>
      <c r="Y745" s="115"/>
      <c r="Z745" s="115"/>
    </row>
    <row r="746" spans="1:26" ht="15.75" customHeight="1" x14ac:dyDescent="0.25">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c r="W746" s="115"/>
      <c r="X746" s="115"/>
      <c r="Y746" s="115"/>
      <c r="Z746" s="115"/>
    </row>
    <row r="747" spans="1:26" ht="15.75" customHeight="1" x14ac:dyDescent="0.25">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c r="W747" s="115"/>
      <c r="X747" s="115"/>
      <c r="Y747" s="115"/>
      <c r="Z747" s="115"/>
    </row>
    <row r="748" spans="1:26" ht="15.75" customHeight="1" x14ac:dyDescent="0.25">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c r="W748" s="115"/>
      <c r="X748" s="115"/>
      <c r="Y748" s="115"/>
      <c r="Z748" s="115"/>
    </row>
    <row r="749" spans="1:26" ht="15.75" customHeight="1" x14ac:dyDescent="0.25">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c r="W749" s="115"/>
      <c r="X749" s="115"/>
      <c r="Y749" s="115"/>
      <c r="Z749" s="115"/>
    </row>
    <row r="750" spans="1:26" ht="15.75" customHeight="1" x14ac:dyDescent="0.25">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c r="W750" s="115"/>
      <c r="X750" s="115"/>
      <c r="Y750" s="115"/>
      <c r="Z750" s="115"/>
    </row>
    <row r="751" spans="1:26" ht="15.75" customHeight="1" x14ac:dyDescent="0.25">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c r="W751" s="115"/>
      <c r="X751" s="115"/>
      <c r="Y751" s="115"/>
      <c r="Z751" s="115"/>
    </row>
    <row r="752" spans="1:26" ht="15.75" customHeight="1" x14ac:dyDescent="0.25">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c r="W752" s="115"/>
      <c r="X752" s="115"/>
      <c r="Y752" s="115"/>
      <c r="Z752" s="115"/>
    </row>
    <row r="753" spans="1:26" ht="15.75" customHeight="1" x14ac:dyDescent="0.25">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c r="W753" s="115"/>
      <c r="X753" s="115"/>
      <c r="Y753" s="115"/>
      <c r="Z753" s="115"/>
    </row>
    <row r="754" spans="1:26" ht="15.75" customHeight="1" x14ac:dyDescent="0.25">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c r="W754" s="115"/>
      <c r="X754" s="115"/>
      <c r="Y754" s="115"/>
      <c r="Z754" s="115"/>
    </row>
    <row r="755" spans="1:26" ht="15.75" customHeight="1" x14ac:dyDescent="0.25">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c r="W755" s="115"/>
      <c r="X755" s="115"/>
      <c r="Y755" s="115"/>
      <c r="Z755" s="115"/>
    </row>
    <row r="756" spans="1:26" ht="15.75" customHeight="1" x14ac:dyDescent="0.25">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c r="W756" s="115"/>
      <c r="X756" s="115"/>
      <c r="Y756" s="115"/>
      <c r="Z756" s="115"/>
    </row>
    <row r="757" spans="1:26" ht="15.75" customHeight="1" x14ac:dyDescent="0.25">
      <c r="A757" s="115"/>
      <c r="B757" s="115"/>
      <c r="C757" s="115"/>
      <c r="D757" s="115"/>
      <c r="E757" s="115"/>
      <c r="F757" s="115"/>
      <c r="G757" s="115"/>
      <c r="H757" s="115"/>
      <c r="I757" s="115"/>
      <c r="J757" s="115"/>
      <c r="K757" s="115"/>
      <c r="L757" s="115"/>
      <c r="M757" s="115"/>
      <c r="N757" s="115"/>
      <c r="O757" s="115"/>
      <c r="P757" s="115"/>
      <c r="Q757" s="115"/>
      <c r="R757" s="115"/>
      <c r="S757" s="115"/>
      <c r="T757" s="115"/>
      <c r="U757" s="115"/>
      <c r="V757" s="115"/>
      <c r="W757" s="115"/>
      <c r="X757" s="115"/>
      <c r="Y757" s="115"/>
      <c r="Z757" s="115"/>
    </row>
    <row r="758" spans="1:26" ht="15.75" customHeight="1" x14ac:dyDescent="0.25">
      <c r="A758" s="115"/>
      <c r="B758" s="115"/>
      <c r="C758" s="115"/>
      <c r="D758" s="115"/>
      <c r="E758" s="115"/>
      <c r="F758" s="115"/>
      <c r="G758" s="115"/>
      <c r="H758" s="115"/>
      <c r="I758" s="115"/>
      <c r="J758" s="115"/>
      <c r="K758" s="115"/>
      <c r="L758" s="115"/>
      <c r="M758" s="115"/>
      <c r="N758" s="115"/>
      <c r="O758" s="115"/>
      <c r="P758" s="115"/>
      <c r="Q758" s="115"/>
      <c r="R758" s="115"/>
      <c r="S758" s="115"/>
      <c r="T758" s="115"/>
      <c r="U758" s="115"/>
      <c r="V758" s="115"/>
      <c r="W758" s="115"/>
      <c r="X758" s="115"/>
      <c r="Y758" s="115"/>
      <c r="Z758" s="115"/>
    </row>
    <row r="759" spans="1:26" ht="15.75" customHeight="1" x14ac:dyDescent="0.25">
      <c r="A759" s="115"/>
      <c r="B759" s="115"/>
      <c r="C759" s="115"/>
      <c r="D759" s="115"/>
      <c r="E759" s="115"/>
      <c r="F759" s="115"/>
      <c r="G759" s="115"/>
      <c r="H759" s="115"/>
      <c r="I759" s="115"/>
      <c r="J759" s="115"/>
      <c r="K759" s="115"/>
      <c r="L759" s="115"/>
      <c r="M759" s="115"/>
      <c r="N759" s="115"/>
      <c r="O759" s="115"/>
      <c r="P759" s="115"/>
      <c r="Q759" s="115"/>
      <c r="R759" s="115"/>
      <c r="S759" s="115"/>
      <c r="T759" s="115"/>
      <c r="U759" s="115"/>
      <c r="V759" s="115"/>
      <c r="W759" s="115"/>
      <c r="X759" s="115"/>
      <c r="Y759" s="115"/>
      <c r="Z759" s="115"/>
    </row>
    <row r="760" spans="1:26" ht="15.75" customHeight="1" x14ac:dyDescent="0.25">
      <c r="A760" s="115"/>
      <c r="B760" s="115"/>
      <c r="C760" s="115"/>
      <c r="D760" s="115"/>
      <c r="E760" s="115"/>
      <c r="F760" s="115"/>
      <c r="G760" s="115"/>
      <c r="H760" s="115"/>
      <c r="I760" s="115"/>
      <c r="J760" s="115"/>
      <c r="K760" s="115"/>
      <c r="L760" s="115"/>
      <c r="M760" s="115"/>
      <c r="N760" s="115"/>
      <c r="O760" s="115"/>
      <c r="P760" s="115"/>
      <c r="Q760" s="115"/>
      <c r="R760" s="115"/>
      <c r="S760" s="115"/>
      <c r="T760" s="115"/>
      <c r="U760" s="115"/>
      <c r="V760" s="115"/>
      <c r="W760" s="115"/>
      <c r="X760" s="115"/>
      <c r="Y760" s="115"/>
      <c r="Z760" s="115"/>
    </row>
    <row r="761" spans="1:26" ht="15.75" customHeight="1" x14ac:dyDescent="0.25">
      <c r="A761" s="115"/>
      <c r="B761" s="115"/>
      <c r="C761" s="115"/>
      <c r="D761" s="115"/>
      <c r="E761" s="115"/>
      <c r="F761" s="115"/>
      <c r="G761" s="115"/>
      <c r="H761" s="115"/>
      <c r="I761" s="115"/>
      <c r="J761" s="115"/>
      <c r="K761" s="115"/>
      <c r="L761" s="115"/>
      <c r="M761" s="115"/>
      <c r="N761" s="115"/>
      <c r="O761" s="115"/>
      <c r="P761" s="115"/>
      <c r="Q761" s="115"/>
      <c r="R761" s="115"/>
      <c r="S761" s="115"/>
      <c r="T761" s="115"/>
      <c r="U761" s="115"/>
      <c r="V761" s="115"/>
      <c r="W761" s="115"/>
      <c r="X761" s="115"/>
      <c r="Y761" s="115"/>
      <c r="Z761" s="115"/>
    </row>
    <row r="762" spans="1:26" ht="15.75" customHeight="1" x14ac:dyDescent="0.25">
      <c r="A762" s="115"/>
      <c r="B762" s="115"/>
      <c r="C762" s="115"/>
      <c r="D762" s="115"/>
      <c r="E762" s="115"/>
      <c r="F762" s="115"/>
      <c r="G762" s="115"/>
      <c r="H762" s="115"/>
      <c r="I762" s="115"/>
      <c r="J762" s="115"/>
      <c r="K762" s="115"/>
      <c r="L762" s="115"/>
      <c r="M762" s="115"/>
      <c r="N762" s="115"/>
      <c r="O762" s="115"/>
      <c r="P762" s="115"/>
      <c r="Q762" s="115"/>
      <c r="R762" s="115"/>
      <c r="S762" s="115"/>
      <c r="T762" s="115"/>
      <c r="U762" s="115"/>
      <c r="V762" s="115"/>
      <c r="W762" s="115"/>
      <c r="X762" s="115"/>
      <c r="Y762" s="115"/>
      <c r="Z762" s="115"/>
    </row>
    <row r="763" spans="1:26" ht="15.75" customHeight="1" x14ac:dyDescent="0.25">
      <c r="A763" s="115"/>
      <c r="B763" s="115"/>
      <c r="C763" s="115"/>
      <c r="D763" s="115"/>
      <c r="E763" s="115"/>
      <c r="F763" s="115"/>
      <c r="G763" s="115"/>
      <c r="H763" s="115"/>
      <c r="I763" s="115"/>
      <c r="J763" s="115"/>
      <c r="K763" s="115"/>
      <c r="L763" s="115"/>
      <c r="M763" s="115"/>
      <c r="N763" s="115"/>
      <c r="O763" s="115"/>
      <c r="P763" s="115"/>
      <c r="Q763" s="115"/>
      <c r="R763" s="115"/>
      <c r="S763" s="115"/>
      <c r="T763" s="115"/>
      <c r="U763" s="115"/>
      <c r="V763" s="115"/>
      <c r="W763" s="115"/>
      <c r="X763" s="115"/>
      <c r="Y763" s="115"/>
      <c r="Z763" s="115"/>
    </row>
    <row r="764" spans="1:26" ht="15.75" customHeight="1" x14ac:dyDescent="0.25">
      <c r="A764" s="115"/>
      <c r="B764" s="115"/>
      <c r="C764" s="115"/>
      <c r="D764" s="115"/>
      <c r="E764" s="115"/>
      <c r="F764" s="115"/>
      <c r="G764" s="115"/>
      <c r="H764" s="115"/>
      <c r="I764" s="115"/>
      <c r="J764" s="115"/>
      <c r="K764" s="115"/>
      <c r="L764" s="115"/>
      <c r="M764" s="115"/>
      <c r="N764" s="115"/>
      <c r="O764" s="115"/>
      <c r="P764" s="115"/>
      <c r="Q764" s="115"/>
      <c r="R764" s="115"/>
      <c r="S764" s="115"/>
      <c r="T764" s="115"/>
      <c r="U764" s="115"/>
      <c r="V764" s="115"/>
      <c r="W764" s="115"/>
      <c r="X764" s="115"/>
      <c r="Y764" s="115"/>
      <c r="Z764" s="115"/>
    </row>
    <row r="765" spans="1:26" ht="15.75" customHeight="1" x14ac:dyDescent="0.25">
      <c r="A765" s="115"/>
      <c r="B765" s="115"/>
      <c r="C765" s="115"/>
      <c r="D765" s="115"/>
      <c r="E765" s="115"/>
      <c r="F765" s="115"/>
      <c r="G765" s="115"/>
      <c r="H765" s="115"/>
      <c r="I765" s="115"/>
      <c r="J765" s="115"/>
      <c r="K765" s="115"/>
      <c r="L765" s="115"/>
      <c r="M765" s="115"/>
      <c r="N765" s="115"/>
      <c r="O765" s="115"/>
      <c r="P765" s="115"/>
      <c r="Q765" s="115"/>
      <c r="R765" s="115"/>
      <c r="S765" s="115"/>
      <c r="T765" s="115"/>
      <c r="U765" s="115"/>
      <c r="V765" s="115"/>
      <c r="W765" s="115"/>
      <c r="X765" s="115"/>
      <c r="Y765" s="115"/>
      <c r="Z765" s="115"/>
    </row>
    <row r="766" spans="1:26" ht="15.75" customHeight="1" x14ac:dyDescent="0.25">
      <c r="A766" s="115"/>
      <c r="B766" s="115"/>
      <c r="C766" s="115"/>
      <c r="D766" s="115"/>
      <c r="E766" s="115"/>
      <c r="F766" s="115"/>
      <c r="G766" s="115"/>
      <c r="H766" s="115"/>
      <c r="I766" s="115"/>
      <c r="J766" s="115"/>
      <c r="K766" s="115"/>
      <c r="L766" s="115"/>
      <c r="M766" s="115"/>
      <c r="N766" s="115"/>
      <c r="O766" s="115"/>
      <c r="P766" s="115"/>
      <c r="Q766" s="115"/>
      <c r="R766" s="115"/>
      <c r="S766" s="115"/>
      <c r="T766" s="115"/>
      <c r="U766" s="115"/>
      <c r="V766" s="115"/>
      <c r="W766" s="115"/>
      <c r="X766" s="115"/>
      <c r="Y766" s="115"/>
      <c r="Z766" s="115"/>
    </row>
    <row r="767" spans="1:26" ht="15.75" customHeight="1" x14ac:dyDescent="0.25">
      <c r="A767" s="115"/>
      <c r="B767" s="115"/>
      <c r="C767" s="115"/>
      <c r="D767" s="115"/>
      <c r="E767" s="115"/>
      <c r="F767" s="115"/>
      <c r="G767" s="115"/>
      <c r="H767" s="115"/>
      <c r="I767" s="115"/>
      <c r="J767" s="115"/>
      <c r="K767" s="115"/>
      <c r="L767" s="115"/>
      <c r="M767" s="115"/>
      <c r="N767" s="115"/>
      <c r="O767" s="115"/>
      <c r="P767" s="115"/>
      <c r="Q767" s="115"/>
      <c r="R767" s="115"/>
      <c r="S767" s="115"/>
      <c r="T767" s="115"/>
      <c r="U767" s="115"/>
      <c r="V767" s="115"/>
      <c r="W767" s="115"/>
      <c r="X767" s="115"/>
      <c r="Y767" s="115"/>
      <c r="Z767" s="115"/>
    </row>
    <row r="768" spans="1:26" ht="15.75" customHeight="1" x14ac:dyDescent="0.25">
      <c r="A768" s="115"/>
      <c r="B768" s="115"/>
      <c r="C768" s="115"/>
      <c r="D768" s="115"/>
      <c r="E768" s="115"/>
      <c r="F768" s="115"/>
      <c r="G768" s="115"/>
      <c r="H768" s="115"/>
      <c r="I768" s="115"/>
      <c r="J768" s="115"/>
      <c r="K768" s="115"/>
      <c r="L768" s="115"/>
      <c r="M768" s="115"/>
      <c r="N768" s="115"/>
      <c r="O768" s="115"/>
      <c r="P768" s="115"/>
      <c r="Q768" s="115"/>
      <c r="R768" s="115"/>
      <c r="S768" s="115"/>
      <c r="T768" s="115"/>
      <c r="U768" s="115"/>
      <c r="V768" s="115"/>
      <c r="W768" s="115"/>
      <c r="X768" s="115"/>
      <c r="Y768" s="115"/>
      <c r="Z768" s="115"/>
    </row>
    <row r="769" spans="1:26" ht="15.75" customHeight="1" x14ac:dyDescent="0.25">
      <c r="A769" s="115"/>
      <c r="B769" s="115"/>
      <c r="C769" s="115"/>
      <c r="D769" s="115"/>
      <c r="E769" s="115"/>
      <c r="F769" s="115"/>
      <c r="G769" s="115"/>
      <c r="H769" s="115"/>
      <c r="I769" s="115"/>
      <c r="J769" s="115"/>
      <c r="K769" s="115"/>
      <c r="L769" s="115"/>
      <c r="M769" s="115"/>
      <c r="N769" s="115"/>
      <c r="O769" s="115"/>
      <c r="P769" s="115"/>
      <c r="Q769" s="115"/>
      <c r="R769" s="115"/>
      <c r="S769" s="115"/>
      <c r="T769" s="115"/>
      <c r="U769" s="115"/>
      <c r="V769" s="115"/>
      <c r="W769" s="115"/>
      <c r="X769" s="115"/>
      <c r="Y769" s="115"/>
      <c r="Z769" s="115"/>
    </row>
    <row r="770" spans="1:26" ht="15.75" customHeight="1" x14ac:dyDescent="0.25">
      <c r="A770" s="115"/>
      <c r="B770" s="115"/>
      <c r="C770" s="115"/>
      <c r="D770" s="115"/>
      <c r="E770" s="115"/>
      <c r="F770" s="115"/>
      <c r="G770" s="115"/>
      <c r="H770" s="115"/>
      <c r="I770" s="115"/>
      <c r="J770" s="115"/>
      <c r="K770" s="115"/>
      <c r="L770" s="115"/>
      <c r="M770" s="115"/>
      <c r="N770" s="115"/>
      <c r="O770" s="115"/>
      <c r="P770" s="115"/>
      <c r="Q770" s="115"/>
      <c r="R770" s="115"/>
      <c r="S770" s="115"/>
      <c r="T770" s="115"/>
      <c r="U770" s="115"/>
      <c r="V770" s="115"/>
      <c r="W770" s="115"/>
      <c r="X770" s="115"/>
      <c r="Y770" s="115"/>
      <c r="Z770" s="115"/>
    </row>
    <row r="771" spans="1:26" ht="15.75" customHeight="1" x14ac:dyDescent="0.25">
      <c r="A771" s="115"/>
      <c r="B771" s="115"/>
      <c r="C771" s="115"/>
      <c r="D771" s="115"/>
      <c r="E771" s="115"/>
      <c r="F771" s="115"/>
      <c r="G771" s="115"/>
      <c r="H771" s="115"/>
      <c r="I771" s="115"/>
      <c r="J771" s="115"/>
      <c r="K771" s="115"/>
      <c r="L771" s="115"/>
      <c r="M771" s="115"/>
      <c r="N771" s="115"/>
      <c r="O771" s="115"/>
      <c r="P771" s="115"/>
      <c r="Q771" s="115"/>
      <c r="R771" s="115"/>
      <c r="S771" s="115"/>
      <c r="T771" s="115"/>
      <c r="U771" s="115"/>
      <c r="V771" s="115"/>
      <c r="W771" s="115"/>
      <c r="X771" s="115"/>
      <c r="Y771" s="115"/>
      <c r="Z771" s="115"/>
    </row>
    <row r="772" spans="1:26" ht="15.75" customHeight="1" x14ac:dyDescent="0.25">
      <c r="A772" s="115"/>
      <c r="B772" s="115"/>
      <c r="C772" s="115"/>
      <c r="D772" s="115"/>
      <c r="E772" s="115"/>
      <c r="F772" s="115"/>
      <c r="G772" s="115"/>
      <c r="H772" s="115"/>
      <c r="I772" s="115"/>
      <c r="J772" s="115"/>
      <c r="K772" s="115"/>
      <c r="L772" s="115"/>
      <c r="M772" s="115"/>
      <c r="N772" s="115"/>
      <c r="O772" s="115"/>
      <c r="P772" s="115"/>
      <c r="Q772" s="115"/>
      <c r="R772" s="115"/>
      <c r="S772" s="115"/>
      <c r="T772" s="115"/>
      <c r="U772" s="115"/>
      <c r="V772" s="115"/>
      <c r="W772" s="115"/>
      <c r="X772" s="115"/>
      <c r="Y772" s="115"/>
      <c r="Z772" s="115"/>
    </row>
    <row r="773" spans="1:26" ht="15.75" customHeight="1" x14ac:dyDescent="0.25">
      <c r="A773" s="115"/>
      <c r="B773" s="115"/>
      <c r="C773" s="115"/>
      <c r="D773" s="115"/>
      <c r="E773" s="115"/>
      <c r="F773" s="115"/>
      <c r="G773" s="115"/>
      <c r="H773" s="115"/>
      <c r="I773" s="115"/>
      <c r="J773" s="115"/>
      <c r="K773" s="115"/>
      <c r="L773" s="115"/>
      <c r="M773" s="115"/>
      <c r="N773" s="115"/>
      <c r="O773" s="115"/>
      <c r="P773" s="115"/>
      <c r="Q773" s="115"/>
      <c r="R773" s="115"/>
      <c r="S773" s="115"/>
      <c r="T773" s="115"/>
      <c r="U773" s="115"/>
      <c r="V773" s="115"/>
      <c r="W773" s="115"/>
      <c r="X773" s="115"/>
      <c r="Y773" s="115"/>
      <c r="Z773" s="115"/>
    </row>
    <row r="774" spans="1:26" ht="15.75" customHeight="1" x14ac:dyDescent="0.25">
      <c r="A774" s="115"/>
      <c r="B774" s="115"/>
      <c r="C774" s="115"/>
      <c r="D774" s="115"/>
      <c r="E774" s="115"/>
      <c r="F774" s="115"/>
      <c r="G774" s="115"/>
      <c r="H774" s="115"/>
      <c r="I774" s="115"/>
      <c r="J774" s="115"/>
      <c r="K774" s="115"/>
      <c r="L774" s="115"/>
      <c r="M774" s="115"/>
      <c r="N774" s="115"/>
      <c r="O774" s="115"/>
      <c r="P774" s="115"/>
      <c r="Q774" s="115"/>
      <c r="R774" s="115"/>
      <c r="S774" s="115"/>
      <c r="T774" s="115"/>
      <c r="U774" s="115"/>
      <c r="V774" s="115"/>
      <c r="W774" s="115"/>
      <c r="X774" s="115"/>
      <c r="Y774" s="115"/>
      <c r="Z774" s="115"/>
    </row>
    <row r="775" spans="1:26" ht="15.75" customHeight="1" x14ac:dyDescent="0.25">
      <c r="A775" s="115"/>
      <c r="B775" s="115"/>
      <c r="C775" s="115"/>
      <c r="D775" s="115"/>
      <c r="E775" s="115"/>
      <c r="F775" s="115"/>
      <c r="G775" s="115"/>
      <c r="H775" s="115"/>
      <c r="I775" s="115"/>
      <c r="J775" s="115"/>
      <c r="K775" s="115"/>
      <c r="L775" s="115"/>
      <c r="M775" s="115"/>
      <c r="N775" s="115"/>
      <c r="O775" s="115"/>
      <c r="P775" s="115"/>
      <c r="Q775" s="115"/>
      <c r="R775" s="115"/>
      <c r="S775" s="115"/>
      <c r="T775" s="115"/>
      <c r="U775" s="115"/>
      <c r="V775" s="115"/>
      <c r="W775" s="115"/>
      <c r="X775" s="115"/>
      <c r="Y775" s="115"/>
      <c r="Z775" s="115"/>
    </row>
    <row r="776" spans="1:26" ht="15.75" customHeight="1" x14ac:dyDescent="0.25">
      <c r="A776" s="115"/>
      <c r="B776" s="115"/>
      <c r="C776" s="115"/>
      <c r="D776" s="115"/>
      <c r="E776" s="115"/>
      <c r="F776" s="115"/>
      <c r="G776" s="115"/>
      <c r="H776" s="115"/>
      <c r="I776" s="115"/>
      <c r="J776" s="115"/>
      <c r="K776" s="115"/>
      <c r="L776" s="115"/>
      <c r="M776" s="115"/>
      <c r="N776" s="115"/>
      <c r="O776" s="115"/>
      <c r="P776" s="115"/>
      <c r="Q776" s="115"/>
      <c r="R776" s="115"/>
      <c r="S776" s="115"/>
      <c r="T776" s="115"/>
      <c r="U776" s="115"/>
      <c r="V776" s="115"/>
      <c r="W776" s="115"/>
      <c r="X776" s="115"/>
      <c r="Y776" s="115"/>
      <c r="Z776" s="115"/>
    </row>
    <row r="777" spans="1:26" ht="15.75" customHeight="1" x14ac:dyDescent="0.25">
      <c r="A777" s="115"/>
      <c r="B777" s="115"/>
      <c r="C777" s="115"/>
      <c r="D777" s="115"/>
      <c r="E777" s="115"/>
      <c r="F777" s="115"/>
      <c r="G777" s="115"/>
      <c r="H777" s="115"/>
      <c r="I777" s="115"/>
      <c r="J777" s="115"/>
      <c r="K777" s="115"/>
      <c r="L777" s="115"/>
      <c r="M777" s="115"/>
      <c r="N777" s="115"/>
      <c r="O777" s="115"/>
      <c r="P777" s="115"/>
      <c r="Q777" s="115"/>
      <c r="R777" s="115"/>
      <c r="S777" s="115"/>
      <c r="T777" s="115"/>
      <c r="U777" s="115"/>
      <c r="V777" s="115"/>
      <c r="W777" s="115"/>
      <c r="X777" s="115"/>
      <c r="Y777" s="115"/>
      <c r="Z777" s="115"/>
    </row>
    <row r="778" spans="1:26" ht="15.75" customHeight="1" x14ac:dyDescent="0.25">
      <c r="A778" s="115"/>
      <c r="B778" s="115"/>
      <c r="C778" s="115"/>
      <c r="D778" s="115"/>
      <c r="E778" s="115"/>
      <c r="F778" s="115"/>
      <c r="G778" s="115"/>
      <c r="H778" s="115"/>
      <c r="I778" s="115"/>
      <c r="J778" s="115"/>
      <c r="K778" s="115"/>
      <c r="L778" s="115"/>
      <c r="M778" s="115"/>
      <c r="N778" s="115"/>
      <c r="O778" s="115"/>
      <c r="P778" s="115"/>
      <c r="Q778" s="115"/>
      <c r="R778" s="115"/>
      <c r="S778" s="115"/>
      <c r="T778" s="115"/>
      <c r="U778" s="115"/>
      <c r="V778" s="115"/>
      <c r="W778" s="115"/>
      <c r="X778" s="115"/>
      <c r="Y778" s="115"/>
      <c r="Z778" s="115"/>
    </row>
    <row r="779" spans="1:26" ht="15.75" customHeight="1" x14ac:dyDescent="0.25">
      <c r="A779" s="115"/>
      <c r="B779" s="115"/>
      <c r="C779" s="115"/>
      <c r="D779" s="115"/>
      <c r="E779" s="115"/>
      <c r="F779" s="115"/>
      <c r="G779" s="115"/>
      <c r="H779" s="115"/>
      <c r="I779" s="115"/>
      <c r="J779" s="115"/>
      <c r="K779" s="115"/>
      <c r="L779" s="115"/>
      <c r="M779" s="115"/>
      <c r="N779" s="115"/>
      <c r="O779" s="115"/>
      <c r="P779" s="115"/>
      <c r="Q779" s="115"/>
      <c r="R779" s="115"/>
      <c r="S779" s="115"/>
      <c r="T779" s="115"/>
      <c r="U779" s="115"/>
      <c r="V779" s="115"/>
      <c r="W779" s="115"/>
      <c r="X779" s="115"/>
      <c r="Y779" s="115"/>
      <c r="Z779" s="115"/>
    </row>
    <row r="780" spans="1:26" ht="15.75" customHeight="1" x14ac:dyDescent="0.25">
      <c r="A780" s="115"/>
      <c r="B780" s="115"/>
      <c r="C780" s="115"/>
      <c r="D780" s="115"/>
      <c r="E780" s="115"/>
      <c r="F780" s="115"/>
      <c r="G780" s="115"/>
      <c r="H780" s="115"/>
      <c r="I780" s="115"/>
      <c r="J780" s="115"/>
      <c r="K780" s="115"/>
      <c r="L780" s="115"/>
      <c r="M780" s="115"/>
      <c r="N780" s="115"/>
      <c r="O780" s="115"/>
      <c r="P780" s="115"/>
      <c r="Q780" s="115"/>
      <c r="R780" s="115"/>
      <c r="S780" s="115"/>
      <c r="T780" s="115"/>
      <c r="U780" s="115"/>
      <c r="V780" s="115"/>
      <c r="W780" s="115"/>
      <c r="X780" s="115"/>
      <c r="Y780" s="115"/>
      <c r="Z780" s="115"/>
    </row>
    <row r="781" spans="1:26" ht="15.75" customHeight="1" x14ac:dyDescent="0.25">
      <c r="A781" s="115"/>
      <c r="B781" s="115"/>
      <c r="C781" s="115"/>
      <c r="D781" s="115"/>
      <c r="E781" s="115"/>
      <c r="F781" s="115"/>
      <c r="G781" s="115"/>
      <c r="H781" s="115"/>
      <c r="I781" s="115"/>
      <c r="J781" s="115"/>
      <c r="K781" s="115"/>
      <c r="L781" s="115"/>
      <c r="M781" s="115"/>
      <c r="N781" s="115"/>
      <c r="O781" s="115"/>
      <c r="P781" s="115"/>
      <c r="Q781" s="115"/>
      <c r="R781" s="115"/>
      <c r="S781" s="115"/>
      <c r="T781" s="115"/>
      <c r="U781" s="115"/>
      <c r="V781" s="115"/>
      <c r="W781" s="115"/>
      <c r="X781" s="115"/>
      <c r="Y781" s="115"/>
      <c r="Z781" s="115"/>
    </row>
    <row r="782" spans="1:26" ht="15.75" customHeight="1" x14ac:dyDescent="0.25">
      <c r="A782" s="115"/>
      <c r="B782" s="115"/>
      <c r="C782" s="115"/>
      <c r="D782" s="115"/>
      <c r="E782" s="115"/>
      <c r="F782" s="115"/>
      <c r="G782" s="115"/>
      <c r="H782" s="115"/>
      <c r="I782" s="115"/>
      <c r="J782" s="115"/>
      <c r="K782" s="115"/>
      <c r="L782" s="115"/>
      <c r="M782" s="115"/>
      <c r="N782" s="115"/>
      <c r="O782" s="115"/>
      <c r="P782" s="115"/>
      <c r="Q782" s="115"/>
      <c r="R782" s="115"/>
      <c r="S782" s="115"/>
      <c r="T782" s="115"/>
      <c r="U782" s="115"/>
      <c r="V782" s="115"/>
      <c r="W782" s="115"/>
      <c r="X782" s="115"/>
      <c r="Y782" s="115"/>
      <c r="Z782" s="115"/>
    </row>
    <row r="783" spans="1:26" ht="15.75" customHeight="1" x14ac:dyDescent="0.25">
      <c r="A783" s="115"/>
      <c r="B783" s="115"/>
      <c r="C783" s="115"/>
      <c r="D783" s="115"/>
      <c r="E783" s="115"/>
      <c r="F783" s="115"/>
      <c r="G783" s="115"/>
      <c r="H783" s="115"/>
      <c r="I783" s="115"/>
      <c r="J783" s="115"/>
      <c r="K783" s="115"/>
      <c r="L783" s="115"/>
      <c r="M783" s="115"/>
      <c r="N783" s="115"/>
      <c r="O783" s="115"/>
      <c r="P783" s="115"/>
      <c r="Q783" s="115"/>
      <c r="R783" s="115"/>
      <c r="S783" s="115"/>
      <c r="T783" s="115"/>
      <c r="U783" s="115"/>
      <c r="V783" s="115"/>
      <c r="W783" s="115"/>
      <c r="X783" s="115"/>
      <c r="Y783" s="115"/>
      <c r="Z783" s="115"/>
    </row>
    <row r="784" spans="1:26" ht="15.75" customHeight="1" x14ac:dyDescent="0.25">
      <c r="A784" s="115"/>
      <c r="B784" s="115"/>
      <c r="C784" s="115"/>
      <c r="D784" s="115"/>
      <c r="E784" s="115"/>
      <c r="F784" s="115"/>
      <c r="G784" s="115"/>
      <c r="H784" s="115"/>
      <c r="I784" s="115"/>
      <c r="J784" s="115"/>
      <c r="K784" s="115"/>
      <c r="L784" s="115"/>
      <c r="M784" s="115"/>
      <c r="N784" s="115"/>
      <c r="O784" s="115"/>
      <c r="P784" s="115"/>
      <c r="Q784" s="115"/>
      <c r="R784" s="115"/>
      <c r="S784" s="115"/>
      <c r="T784" s="115"/>
      <c r="U784" s="115"/>
      <c r="V784" s="115"/>
      <c r="W784" s="115"/>
      <c r="X784" s="115"/>
      <c r="Y784" s="115"/>
      <c r="Z784" s="115"/>
    </row>
    <row r="785" spans="1:26" ht="15.75" customHeight="1" x14ac:dyDescent="0.25">
      <c r="A785" s="115"/>
      <c r="B785" s="115"/>
      <c r="C785" s="115"/>
      <c r="D785" s="115"/>
      <c r="E785" s="115"/>
      <c r="F785" s="115"/>
      <c r="G785" s="115"/>
      <c r="H785" s="115"/>
      <c r="I785" s="115"/>
      <c r="J785" s="115"/>
      <c r="K785" s="115"/>
      <c r="L785" s="115"/>
      <c r="M785" s="115"/>
      <c r="N785" s="115"/>
      <c r="O785" s="115"/>
      <c r="P785" s="115"/>
      <c r="Q785" s="115"/>
      <c r="R785" s="115"/>
      <c r="S785" s="115"/>
      <c r="T785" s="115"/>
      <c r="U785" s="115"/>
      <c r="V785" s="115"/>
      <c r="W785" s="115"/>
      <c r="X785" s="115"/>
      <c r="Y785" s="115"/>
      <c r="Z785" s="115"/>
    </row>
    <row r="786" spans="1:26" ht="15.75" customHeight="1" x14ac:dyDescent="0.25">
      <c r="A786" s="115"/>
      <c r="B786" s="115"/>
      <c r="C786" s="115"/>
      <c r="D786" s="115"/>
      <c r="E786" s="115"/>
      <c r="F786" s="115"/>
      <c r="G786" s="115"/>
      <c r="H786" s="115"/>
      <c r="I786" s="115"/>
      <c r="J786" s="115"/>
      <c r="K786" s="115"/>
      <c r="L786" s="115"/>
      <c r="M786" s="115"/>
      <c r="N786" s="115"/>
      <c r="O786" s="115"/>
      <c r="P786" s="115"/>
      <c r="Q786" s="115"/>
      <c r="R786" s="115"/>
      <c r="S786" s="115"/>
      <c r="T786" s="115"/>
      <c r="U786" s="115"/>
      <c r="V786" s="115"/>
      <c r="W786" s="115"/>
      <c r="X786" s="115"/>
      <c r="Y786" s="115"/>
      <c r="Z786" s="115"/>
    </row>
    <row r="787" spans="1:26" ht="15.75" customHeight="1" x14ac:dyDescent="0.25">
      <c r="A787" s="115"/>
      <c r="B787" s="115"/>
      <c r="C787" s="115"/>
      <c r="D787" s="115"/>
      <c r="E787" s="115"/>
      <c r="F787" s="115"/>
      <c r="G787" s="115"/>
      <c r="H787" s="115"/>
      <c r="I787" s="115"/>
      <c r="J787" s="115"/>
      <c r="K787" s="115"/>
      <c r="L787" s="115"/>
      <c r="M787" s="115"/>
      <c r="N787" s="115"/>
      <c r="O787" s="115"/>
      <c r="P787" s="115"/>
      <c r="Q787" s="115"/>
      <c r="R787" s="115"/>
      <c r="S787" s="115"/>
      <c r="T787" s="115"/>
      <c r="U787" s="115"/>
      <c r="V787" s="115"/>
      <c r="W787" s="115"/>
      <c r="X787" s="115"/>
      <c r="Y787" s="115"/>
      <c r="Z787" s="115"/>
    </row>
    <row r="788" spans="1:26" ht="15.75" customHeight="1" x14ac:dyDescent="0.25">
      <c r="A788" s="115"/>
      <c r="B788" s="115"/>
      <c r="C788" s="115"/>
      <c r="D788" s="115"/>
      <c r="E788" s="115"/>
      <c r="F788" s="115"/>
      <c r="G788" s="115"/>
      <c r="H788" s="115"/>
      <c r="I788" s="115"/>
      <c r="J788" s="115"/>
      <c r="K788" s="115"/>
      <c r="L788" s="115"/>
      <c r="M788" s="115"/>
      <c r="N788" s="115"/>
      <c r="O788" s="115"/>
      <c r="P788" s="115"/>
      <c r="Q788" s="115"/>
      <c r="R788" s="115"/>
      <c r="S788" s="115"/>
      <c r="T788" s="115"/>
      <c r="U788" s="115"/>
      <c r="V788" s="115"/>
      <c r="W788" s="115"/>
      <c r="X788" s="115"/>
      <c r="Y788" s="115"/>
      <c r="Z788" s="115"/>
    </row>
    <row r="789" spans="1:26" ht="15.75" customHeight="1" x14ac:dyDescent="0.25">
      <c r="A789" s="115"/>
      <c r="B789" s="115"/>
      <c r="C789" s="115"/>
      <c r="D789" s="115"/>
      <c r="E789" s="115"/>
      <c r="F789" s="115"/>
      <c r="G789" s="115"/>
      <c r="H789" s="115"/>
      <c r="I789" s="115"/>
      <c r="J789" s="115"/>
      <c r="K789" s="115"/>
      <c r="L789" s="115"/>
      <c r="M789" s="115"/>
      <c r="N789" s="115"/>
      <c r="O789" s="115"/>
      <c r="P789" s="115"/>
      <c r="Q789" s="115"/>
      <c r="R789" s="115"/>
      <c r="S789" s="115"/>
      <c r="T789" s="115"/>
      <c r="U789" s="115"/>
      <c r="V789" s="115"/>
      <c r="W789" s="115"/>
      <c r="X789" s="115"/>
      <c r="Y789" s="115"/>
      <c r="Z789" s="115"/>
    </row>
    <row r="790" spans="1:26" ht="15.75" customHeight="1" x14ac:dyDescent="0.25">
      <c r="A790" s="115"/>
      <c r="B790" s="115"/>
      <c r="C790" s="115"/>
      <c r="D790" s="115"/>
      <c r="E790" s="115"/>
      <c r="F790" s="115"/>
      <c r="G790" s="115"/>
      <c r="H790" s="115"/>
      <c r="I790" s="115"/>
      <c r="J790" s="115"/>
      <c r="K790" s="115"/>
      <c r="L790" s="115"/>
      <c r="M790" s="115"/>
      <c r="N790" s="115"/>
      <c r="O790" s="115"/>
      <c r="P790" s="115"/>
      <c r="Q790" s="115"/>
      <c r="R790" s="115"/>
      <c r="S790" s="115"/>
      <c r="T790" s="115"/>
      <c r="U790" s="115"/>
      <c r="V790" s="115"/>
      <c r="W790" s="115"/>
      <c r="X790" s="115"/>
      <c r="Y790" s="115"/>
      <c r="Z790" s="115"/>
    </row>
    <row r="791" spans="1:26" ht="15.75" customHeight="1" x14ac:dyDescent="0.25">
      <c r="A791" s="115"/>
      <c r="B791" s="115"/>
      <c r="C791" s="115"/>
      <c r="D791" s="115"/>
      <c r="E791" s="115"/>
      <c r="F791" s="115"/>
      <c r="G791" s="115"/>
      <c r="H791" s="115"/>
      <c r="I791" s="115"/>
      <c r="J791" s="115"/>
      <c r="K791" s="115"/>
      <c r="L791" s="115"/>
      <c r="M791" s="115"/>
      <c r="N791" s="115"/>
      <c r="O791" s="115"/>
      <c r="P791" s="115"/>
      <c r="Q791" s="115"/>
      <c r="R791" s="115"/>
      <c r="S791" s="115"/>
      <c r="T791" s="115"/>
      <c r="U791" s="115"/>
      <c r="V791" s="115"/>
      <c r="W791" s="115"/>
      <c r="X791" s="115"/>
      <c r="Y791" s="115"/>
      <c r="Z791" s="115"/>
    </row>
    <row r="792" spans="1:26" ht="15.75" customHeight="1" x14ac:dyDescent="0.25">
      <c r="A792" s="115"/>
      <c r="B792" s="115"/>
      <c r="C792" s="115"/>
      <c r="D792" s="115"/>
      <c r="E792" s="115"/>
      <c r="F792" s="115"/>
      <c r="G792" s="115"/>
      <c r="H792" s="115"/>
      <c r="I792" s="115"/>
      <c r="J792" s="115"/>
      <c r="K792" s="115"/>
      <c r="L792" s="115"/>
      <c r="M792" s="115"/>
      <c r="N792" s="115"/>
      <c r="O792" s="115"/>
      <c r="P792" s="115"/>
      <c r="Q792" s="115"/>
      <c r="R792" s="115"/>
      <c r="S792" s="115"/>
      <c r="T792" s="115"/>
      <c r="U792" s="115"/>
      <c r="V792" s="115"/>
      <c r="W792" s="115"/>
      <c r="X792" s="115"/>
      <c r="Y792" s="115"/>
      <c r="Z792" s="115"/>
    </row>
    <row r="793" spans="1:26" ht="15.75" customHeight="1" x14ac:dyDescent="0.25">
      <c r="A793" s="115"/>
      <c r="B793" s="115"/>
      <c r="C793" s="115"/>
      <c r="D793" s="115"/>
      <c r="E793" s="115"/>
      <c r="F793" s="115"/>
      <c r="G793" s="115"/>
      <c r="H793" s="115"/>
      <c r="I793" s="115"/>
      <c r="J793" s="115"/>
      <c r="K793" s="115"/>
      <c r="L793" s="115"/>
      <c r="M793" s="115"/>
      <c r="N793" s="115"/>
      <c r="O793" s="115"/>
      <c r="P793" s="115"/>
      <c r="Q793" s="115"/>
      <c r="R793" s="115"/>
      <c r="S793" s="115"/>
      <c r="T793" s="115"/>
      <c r="U793" s="115"/>
      <c r="V793" s="115"/>
      <c r="W793" s="115"/>
      <c r="X793" s="115"/>
      <c r="Y793" s="115"/>
      <c r="Z793" s="115"/>
    </row>
    <row r="794" spans="1:26" ht="15.75" customHeight="1" x14ac:dyDescent="0.25">
      <c r="A794" s="115"/>
      <c r="B794" s="115"/>
      <c r="C794" s="115"/>
      <c r="D794" s="115"/>
      <c r="E794" s="115"/>
      <c r="F794" s="115"/>
      <c r="G794" s="115"/>
      <c r="H794" s="115"/>
      <c r="I794" s="115"/>
      <c r="J794" s="115"/>
      <c r="K794" s="115"/>
      <c r="L794" s="115"/>
      <c r="M794" s="115"/>
      <c r="N794" s="115"/>
      <c r="O794" s="115"/>
      <c r="P794" s="115"/>
      <c r="Q794" s="115"/>
      <c r="R794" s="115"/>
      <c r="S794" s="115"/>
      <c r="T794" s="115"/>
      <c r="U794" s="115"/>
      <c r="V794" s="115"/>
      <c r="W794" s="115"/>
      <c r="X794" s="115"/>
      <c r="Y794" s="115"/>
      <c r="Z794" s="115"/>
    </row>
    <row r="795" spans="1:26" ht="15.75" customHeight="1" x14ac:dyDescent="0.25">
      <c r="A795" s="115"/>
      <c r="B795" s="115"/>
      <c r="C795" s="115"/>
      <c r="D795" s="115"/>
      <c r="E795" s="115"/>
      <c r="F795" s="115"/>
      <c r="G795" s="115"/>
      <c r="H795" s="115"/>
      <c r="I795" s="115"/>
      <c r="J795" s="115"/>
      <c r="K795" s="115"/>
      <c r="L795" s="115"/>
      <c r="M795" s="115"/>
      <c r="N795" s="115"/>
      <c r="O795" s="115"/>
      <c r="P795" s="115"/>
      <c r="Q795" s="115"/>
      <c r="R795" s="115"/>
      <c r="S795" s="115"/>
      <c r="T795" s="115"/>
      <c r="U795" s="115"/>
      <c r="V795" s="115"/>
      <c r="W795" s="115"/>
      <c r="X795" s="115"/>
      <c r="Y795" s="115"/>
      <c r="Z795" s="115"/>
    </row>
    <row r="796" spans="1:26" ht="15.75" customHeight="1" x14ac:dyDescent="0.25">
      <c r="A796" s="115"/>
      <c r="B796" s="115"/>
      <c r="C796" s="115"/>
      <c r="D796" s="115"/>
      <c r="E796" s="115"/>
      <c r="F796" s="115"/>
      <c r="G796" s="115"/>
      <c r="H796" s="115"/>
      <c r="I796" s="115"/>
      <c r="J796" s="115"/>
      <c r="K796" s="115"/>
      <c r="L796" s="115"/>
      <c r="M796" s="115"/>
      <c r="N796" s="115"/>
      <c r="O796" s="115"/>
      <c r="P796" s="115"/>
      <c r="Q796" s="115"/>
      <c r="R796" s="115"/>
      <c r="S796" s="115"/>
      <c r="T796" s="115"/>
      <c r="U796" s="115"/>
      <c r="V796" s="115"/>
      <c r="W796" s="115"/>
      <c r="X796" s="115"/>
      <c r="Y796" s="115"/>
      <c r="Z796" s="115"/>
    </row>
    <row r="797" spans="1:26" ht="15.75" customHeight="1" x14ac:dyDescent="0.25">
      <c r="A797" s="115"/>
      <c r="B797" s="115"/>
      <c r="C797" s="115"/>
      <c r="D797" s="115"/>
      <c r="E797" s="115"/>
      <c r="F797" s="115"/>
      <c r="G797" s="115"/>
      <c r="H797" s="115"/>
      <c r="I797" s="115"/>
      <c r="J797" s="115"/>
      <c r="K797" s="115"/>
      <c r="L797" s="115"/>
      <c r="M797" s="115"/>
      <c r="N797" s="115"/>
      <c r="O797" s="115"/>
      <c r="P797" s="115"/>
      <c r="Q797" s="115"/>
      <c r="R797" s="115"/>
      <c r="S797" s="115"/>
      <c r="T797" s="115"/>
      <c r="U797" s="115"/>
      <c r="V797" s="115"/>
      <c r="W797" s="115"/>
      <c r="X797" s="115"/>
      <c r="Y797" s="115"/>
      <c r="Z797" s="115"/>
    </row>
    <row r="798" spans="1:26" ht="15.75" customHeight="1" x14ac:dyDescent="0.25">
      <c r="A798" s="115"/>
      <c r="B798" s="115"/>
      <c r="C798" s="115"/>
      <c r="D798" s="115"/>
      <c r="E798" s="115"/>
      <c r="F798" s="115"/>
      <c r="G798" s="115"/>
      <c r="H798" s="115"/>
      <c r="I798" s="115"/>
      <c r="J798" s="115"/>
      <c r="K798" s="115"/>
      <c r="L798" s="115"/>
      <c r="M798" s="115"/>
      <c r="N798" s="115"/>
      <c r="O798" s="115"/>
      <c r="P798" s="115"/>
      <c r="Q798" s="115"/>
      <c r="R798" s="115"/>
      <c r="S798" s="115"/>
      <c r="T798" s="115"/>
      <c r="U798" s="115"/>
      <c r="V798" s="115"/>
      <c r="W798" s="115"/>
      <c r="X798" s="115"/>
      <c r="Y798" s="115"/>
      <c r="Z798" s="115"/>
    </row>
    <row r="799" spans="1:26" ht="15.75" customHeight="1" x14ac:dyDescent="0.25">
      <c r="A799" s="115"/>
      <c r="B799" s="115"/>
      <c r="C799" s="115"/>
      <c r="D799" s="115"/>
      <c r="E799" s="115"/>
      <c r="F799" s="115"/>
      <c r="G799" s="115"/>
      <c r="H799" s="115"/>
      <c r="I799" s="115"/>
      <c r="J799" s="115"/>
      <c r="K799" s="115"/>
      <c r="L799" s="115"/>
      <c r="M799" s="115"/>
      <c r="N799" s="115"/>
      <c r="O799" s="115"/>
      <c r="P799" s="115"/>
      <c r="Q799" s="115"/>
      <c r="R799" s="115"/>
      <c r="S799" s="115"/>
      <c r="T799" s="115"/>
      <c r="U799" s="115"/>
      <c r="V799" s="115"/>
      <c r="W799" s="115"/>
      <c r="X799" s="115"/>
      <c r="Y799" s="115"/>
      <c r="Z799" s="115"/>
    </row>
    <row r="800" spans="1:26" ht="15.75" customHeight="1" x14ac:dyDescent="0.25">
      <c r="A800" s="115"/>
      <c r="B800" s="115"/>
      <c r="C800" s="115"/>
      <c r="D800" s="115"/>
      <c r="E800" s="115"/>
      <c r="F800" s="115"/>
      <c r="G800" s="115"/>
      <c r="H800" s="115"/>
      <c r="I800" s="115"/>
      <c r="J800" s="115"/>
      <c r="K800" s="115"/>
      <c r="L800" s="115"/>
      <c r="M800" s="115"/>
      <c r="N800" s="115"/>
      <c r="O800" s="115"/>
      <c r="P800" s="115"/>
      <c r="Q800" s="115"/>
      <c r="R800" s="115"/>
      <c r="S800" s="115"/>
      <c r="T800" s="115"/>
      <c r="U800" s="115"/>
      <c r="V800" s="115"/>
      <c r="W800" s="115"/>
      <c r="X800" s="115"/>
      <c r="Y800" s="115"/>
      <c r="Z800" s="115"/>
    </row>
    <row r="801" spans="1:26" ht="15.75" customHeight="1" x14ac:dyDescent="0.25">
      <c r="A801" s="115"/>
      <c r="B801" s="115"/>
      <c r="C801" s="115"/>
      <c r="D801" s="115"/>
      <c r="E801" s="115"/>
      <c r="F801" s="115"/>
      <c r="G801" s="115"/>
      <c r="H801" s="115"/>
      <c r="I801" s="115"/>
      <c r="J801" s="115"/>
      <c r="K801" s="115"/>
      <c r="L801" s="115"/>
      <c r="M801" s="115"/>
      <c r="N801" s="115"/>
      <c r="O801" s="115"/>
      <c r="P801" s="115"/>
      <c r="Q801" s="115"/>
      <c r="R801" s="115"/>
      <c r="S801" s="115"/>
      <c r="T801" s="115"/>
      <c r="U801" s="115"/>
      <c r="V801" s="115"/>
      <c r="W801" s="115"/>
      <c r="X801" s="115"/>
      <c r="Y801" s="115"/>
      <c r="Z801" s="115"/>
    </row>
    <row r="802" spans="1:26" ht="15.75" customHeight="1" x14ac:dyDescent="0.25">
      <c r="A802" s="115"/>
      <c r="B802" s="115"/>
      <c r="C802" s="115"/>
      <c r="D802" s="115"/>
      <c r="E802" s="115"/>
      <c r="F802" s="115"/>
      <c r="G802" s="115"/>
      <c r="H802" s="115"/>
      <c r="I802" s="115"/>
      <c r="J802" s="115"/>
      <c r="K802" s="115"/>
      <c r="L802" s="115"/>
      <c r="M802" s="115"/>
      <c r="N802" s="115"/>
      <c r="O802" s="115"/>
      <c r="P802" s="115"/>
      <c r="Q802" s="115"/>
      <c r="R802" s="115"/>
      <c r="S802" s="115"/>
      <c r="T802" s="115"/>
      <c r="U802" s="115"/>
      <c r="V802" s="115"/>
      <c r="W802" s="115"/>
      <c r="X802" s="115"/>
      <c r="Y802" s="115"/>
      <c r="Z802" s="115"/>
    </row>
    <row r="803" spans="1:26" ht="15.75" customHeight="1" x14ac:dyDescent="0.25">
      <c r="A803" s="115"/>
      <c r="B803" s="115"/>
      <c r="C803" s="115"/>
      <c r="D803" s="115"/>
      <c r="E803" s="115"/>
      <c r="F803" s="115"/>
      <c r="G803" s="115"/>
      <c r="H803" s="115"/>
      <c r="I803" s="115"/>
      <c r="J803" s="115"/>
      <c r="K803" s="115"/>
      <c r="L803" s="115"/>
      <c r="M803" s="115"/>
      <c r="N803" s="115"/>
      <c r="O803" s="115"/>
      <c r="P803" s="115"/>
      <c r="Q803" s="115"/>
      <c r="R803" s="115"/>
      <c r="S803" s="115"/>
      <c r="T803" s="115"/>
      <c r="U803" s="115"/>
      <c r="V803" s="115"/>
      <c r="W803" s="115"/>
      <c r="X803" s="115"/>
      <c r="Y803" s="115"/>
      <c r="Z803" s="115"/>
    </row>
    <row r="804" spans="1:26" ht="15.75" customHeight="1" x14ac:dyDescent="0.25">
      <c r="A804" s="115"/>
      <c r="B804" s="115"/>
      <c r="C804" s="115"/>
      <c r="D804" s="115"/>
      <c r="E804" s="115"/>
      <c r="F804" s="115"/>
      <c r="G804" s="115"/>
      <c r="H804" s="115"/>
      <c r="I804" s="115"/>
      <c r="J804" s="115"/>
      <c r="K804" s="115"/>
      <c r="L804" s="115"/>
      <c r="M804" s="115"/>
      <c r="N804" s="115"/>
      <c r="O804" s="115"/>
      <c r="P804" s="115"/>
      <c r="Q804" s="115"/>
      <c r="R804" s="115"/>
      <c r="S804" s="115"/>
      <c r="T804" s="115"/>
      <c r="U804" s="115"/>
      <c r="V804" s="115"/>
      <c r="W804" s="115"/>
      <c r="X804" s="115"/>
      <c r="Y804" s="115"/>
      <c r="Z804" s="115"/>
    </row>
    <row r="805" spans="1:26" ht="15.75" customHeight="1" x14ac:dyDescent="0.25">
      <c r="A805" s="115"/>
      <c r="B805" s="115"/>
      <c r="C805" s="115"/>
      <c r="D805" s="115"/>
      <c r="E805" s="115"/>
      <c r="F805" s="115"/>
      <c r="G805" s="115"/>
      <c r="H805" s="115"/>
      <c r="I805" s="115"/>
      <c r="J805" s="115"/>
      <c r="K805" s="115"/>
      <c r="L805" s="115"/>
      <c r="M805" s="115"/>
      <c r="N805" s="115"/>
      <c r="O805" s="115"/>
      <c r="P805" s="115"/>
      <c r="Q805" s="115"/>
      <c r="R805" s="115"/>
      <c r="S805" s="115"/>
      <c r="T805" s="115"/>
      <c r="U805" s="115"/>
      <c r="V805" s="115"/>
      <c r="W805" s="115"/>
      <c r="X805" s="115"/>
      <c r="Y805" s="115"/>
      <c r="Z805" s="115"/>
    </row>
    <row r="806" spans="1:26" ht="15.75" customHeight="1" x14ac:dyDescent="0.25">
      <c r="A806" s="115"/>
      <c r="B806" s="115"/>
      <c r="C806" s="115"/>
      <c r="D806" s="115"/>
      <c r="E806" s="115"/>
      <c r="F806" s="115"/>
      <c r="G806" s="115"/>
      <c r="H806" s="115"/>
      <c r="I806" s="115"/>
      <c r="J806" s="115"/>
      <c r="K806" s="115"/>
      <c r="L806" s="115"/>
      <c r="M806" s="115"/>
      <c r="N806" s="115"/>
      <c r="O806" s="115"/>
      <c r="P806" s="115"/>
      <c r="Q806" s="115"/>
      <c r="R806" s="115"/>
      <c r="S806" s="115"/>
      <c r="T806" s="115"/>
      <c r="U806" s="115"/>
      <c r="V806" s="115"/>
      <c r="W806" s="115"/>
      <c r="X806" s="115"/>
      <c r="Y806" s="115"/>
      <c r="Z806" s="115"/>
    </row>
    <row r="807" spans="1:26" ht="15.75" customHeight="1" x14ac:dyDescent="0.25">
      <c r="A807" s="115"/>
      <c r="B807" s="115"/>
      <c r="C807" s="115"/>
      <c r="D807" s="115"/>
      <c r="E807" s="115"/>
      <c r="F807" s="115"/>
      <c r="G807" s="115"/>
      <c r="H807" s="115"/>
      <c r="I807" s="115"/>
      <c r="J807" s="115"/>
      <c r="K807" s="115"/>
      <c r="L807" s="115"/>
      <c r="M807" s="115"/>
      <c r="N807" s="115"/>
      <c r="O807" s="115"/>
      <c r="P807" s="115"/>
      <c r="Q807" s="115"/>
      <c r="R807" s="115"/>
      <c r="S807" s="115"/>
      <c r="T807" s="115"/>
      <c r="U807" s="115"/>
      <c r="V807" s="115"/>
      <c r="W807" s="115"/>
      <c r="X807" s="115"/>
      <c r="Y807" s="115"/>
      <c r="Z807" s="115"/>
    </row>
    <row r="808" spans="1:26" ht="15.75" customHeight="1" x14ac:dyDescent="0.25">
      <c r="A808" s="115"/>
      <c r="B808" s="115"/>
      <c r="C808" s="115"/>
      <c r="D808" s="115"/>
      <c r="E808" s="115"/>
      <c r="F808" s="115"/>
      <c r="G808" s="115"/>
      <c r="H808" s="115"/>
      <c r="I808" s="115"/>
      <c r="J808" s="115"/>
      <c r="K808" s="115"/>
      <c r="L808" s="115"/>
      <c r="M808" s="115"/>
      <c r="N808" s="115"/>
      <c r="O808" s="115"/>
      <c r="P808" s="115"/>
      <c r="Q808" s="115"/>
      <c r="R808" s="115"/>
      <c r="S808" s="115"/>
      <c r="T808" s="115"/>
      <c r="U808" s="115"/>
      <c r="V808" s="115"/>
      <c r="W808" s="115"/>
      <c r="X808" s="115"/>
      <c r="Y808" s="115"/>
      <c r="Z808" s="115"/>
    </row>
    <row r="809" spans="1:26" ht="15.75" customHeight="1" x14ac:dyDescent="0.25">
      <c r="A809" s="115"/>
      <c r="B809" s="115"/>
      <c r="C809" s="115"/>
      <c r="D809" s="115"/>
      <c r="E809" s="115"/>
      <c r="F809" s="115"/>
      <c r="G809" s="115"/>
      <c r="H809" s="115"/>
      <c r="I809" s="115"/>
      <c r="J809" s="115"/>
      <c r="K809" s="115"/>
      <c r="L809" s="115"/>
      <c r="M809" s="115"/>
      <c r="N809" s="115"/>
      <c r="O809" s="115"/>
      <c r="P809" s="115"/>
      <c r="Q809" s="115"/>
      <c r="R809" s="115"/>
      <c r="S809" s="115"/>
      <c r="T809" s="115"/>
      <c r="U809" s="115"/>
      <c r="V809" s="115"/>
      <c r="W809" s="115"/>
      <c r="X809" s="115"/>
      <c r="Y809" s="115"/>
      <c r="Z809" s="115"/>
    </row>
    <row r="810" spans="1:26" ht="15.75" customHeight="1" x14ac:dyDescent="0.25">
      <c r="A810" s="115"/>
      <c r="B810" s="115"/>
      <c r="C810" s="115"/>
      <c r="D810" s="115"/>
      <c r="E810" s="115"/>
      <c r="F810" s="115"/>
      <c r="G810" s="115"/>
      <c r="H810" s="115"/>
      <c r="I810" s="115"/>
      <c r="J810" s="115"/>
      <c r="K810" s="115"/>
      <c r="L810" s="115"/>
      <c r="M810" s="115"/>
      <c r="N810" s="115"/>
      <c r="O810" s="115"/>
      <c r="P810" s="115"/>
      <c r="Q810" s="115"/>
      <c r="R810" s="115"/>
      <c r="S810" s="115"/>
      <c r="T810" s="115"/>
      <c r="U810" s="115"/>
      <c r="V810" s="115"/>
      <c r="W810" s="115"/>
      <c r="X810" s="115"/>
      <c r="Y810" s="115"/>
      <c r="Z810" s="115"/>
    </row>
    <row r="811" spans="1:26" ht="15.75" customHeight="1" x14ac:dyDescent="0.25">
      <c r="A811" s="115"/>
      <c r="B811" s="115"/>
      <c r="C811" s="115"/>
      <c r="D811" s="115"/>
      <c r="E811" s="115"/>
      <c r="F811" s="115"/>
      <c r="G811" s="115"/>
      <c r="H811" s="115"/>
      <c r="I811" s="115"/>
      <c r="J811" s="115"/>
      <c r="K811" s="115"/>
      <c r="L811" s="115"/>
      <c r="M811" s="115"/>
      <c r="N811" s="115"/>
      <c r="O811" s="115"/>
      <c r="P811" s="115"/>
      <c r="Q811" s="115"/>
      <c r="R811" s="115"/>
      <c r="S811" s="115"/>
      <c r="T811" s="115"/>
      <c r="U811" s="115"/>
      <c r="V811" s="115"/>
      <c r="W811" s="115"/>
      <c r="X811" s="115"/>
      <c r="Y811" s="115"/>
      <c r="Z811" s="115"/>
    </row>
    <row r="812" spans="1:26" ht="15.75" customHeight="1" x14ac:dyDescent="0.25">
      <c r="A812" s="115"/>
      <c r="B812" s="115"/>
      <c r="C812" s="115"/>
      <c r="D812" s="115"/>
      <c r="E812" s="115"/>
      <c r="F812" s="115"/>
      <c r="G812" s="115"/>
      <c r="H812" s="115"/>
      <c r="I812" s="115"/>
      <c r="J812" s="115"/>
      <c r="K812" s="115"/>
      <c r="L812" s="115"/>
      <c r="M812" s="115"/>
      <c r="N812" s="115"/>
      <c r="O812" s="115"/>
      <c r="P812" s="115"/>
      <c r="Q812" s="115"/>
      <c r="R812" s="115"/>
      <c r="S812" s="115"/>
      <c r="T812" s="115"/>
      <c r="U812" s="115"/>
      <c r="V812" s="115"/>
      <c r="W812" s="115"/>
      <c r="X812" s="115"/>
      <c r="Y812" s="115"/>
      <c r="Z812" s="115"/>
    </row>
    <row r="813" spans="1:26" ht="15.75" customHeight="1" x14ac:dyDescent="0.25">
      <c r="A813" s="115"/>
      <c r="B813" s="115"/>
      <c r="C813" s="115"/>
      <c r="D813" s="115"/>
      <c r="E813" s="115"/>
      <c r="F813" s="115"/>
      <c r="G813" s="115"/>
      <c r="H813" s="115"/>
      <c r="I813" s="115"/>
      <c r="J813" s="115"/>
      <c r="K813" s="115"/>
      <c r="L813" s="115"/>
      <c r="M813" s="115"/>
      <c r="N813" s="115"/>
      <c r="O813" s="115"/>
      <c r="P813" s="115"/>
      <c r="Q813" s="115"/>
      <c r="R813" s="115"/>
      <c r="S813" s="115"/>
      <c r="T813" s="115"/>
      <c r="U813" s="115"/>
      <c r="V813" s="115"/>
      <c r="W813" s="115"/>
      <c r="X813" s="115"/>
      <c r="Y813" s="115"/>
      <c r="Z813" s="115"/>
    </row>
    <row r="814" spans="1:26" ht="15.75" customHeight="1" x14ac:dyDescent="0.25">
      <c r="A814" s="115"/>
      <c r="B814" s="115"/>
      <c r="C814" s="115"/>
      <c r="D814" s="115"/>
      <c r="E814" s="115"/>
      <c r="F814" s="115"/>
      <c r="G814" s="115"/>
      <c r="H814" s="115"/>
      <c r="I814" s="115"/>
      <c r="J814" s="115"/>
      <c r="K814" s="115"/>
      <c r="L814" s="115"/>
      <c r="M814" s="115"/>
      <c r="N814" s="115"/>
      <c r="O814" s="115"/>
      <c r="P814" s="115"/>
      <c r="Q814" s="115"/>
      <c r="R814" s="115"/>
      <c r="S814" s="115"/>
      <c r="T814" s="115"/>
      <c r="U814" s="115"/>
      <c r="V814" s="115"/>
      <c r="W814" s="115"/>
      <c r="X814" s="115"/>
      <c r="Y814" s="115"/>
      <c r="Z814" s="115"/>
    </row>
    <row r="815" spans="1:26" ht="15.75" customHeight="1" x14ac:dyDescent="0.25">
      <c r="A815" s="115"/>
      <c r="B815" s="115"/>
      <c r="C815" s="115"/>
      <c r="D815" s="115"/>
      <c r="E815" s="115"/>
      <c r="F815" s="115"/>
      <c r="G815" s="115"/>
      <c r="H815" s="115"/>
      <c r="I815" s="115"/>
      <c r="J815" s="115"/>
      <c r="K815" s="115"/>
      <c r="L815" s="115"/>
      <c r="M815" s="115"/>
      <c r="N815" s="115"/>
      <c r="O815" s="115"/>
      <c r="P815" s="115"/>
      <c r="Q815" s="115"/>
      <c r="R815" s="115"/>
      <c r="S815" s="115"/>
      <c r="T815" s="115"/>
      <c r="U815" s="115"/>
      <c r="V815" s="115"/>
      <c r="W815" s="115"/>
      <c r="X815" s="115"/>
      <c r="Y815" s="115"/>
      <c r="Z815" s="115"/>
    </row>
    <row r="816" spans="1:26" ht="15.75" customHeight="1" x14ac:dyDescent="0.25">
      <c r="A816" s="115"/>
      <c r="B816" s="115"/>
      <c r="C816" s="115"/>
      <c r="D816" s="115"/>
      <c r="E816" s="115"/>
      <c r="F816" s="115"/>
      <c r="G816" s="115"/>
      <c r="H816" s="115"/>
      <c r="I816" s="115"/>
      <c r="J816" s="115"/>
      <c r="K816" s="115"/>
      <c r="L816" s="115"/>
      <c r="M816" s="115"/>
      <c r="N816" s="115"/>
      <c r="O816" s="115"/>
      <c r="P816" s="115"/>
      <c r="Q816" s="115"/>
      <c r="R816" s="115"/>
      <c r="S816" s="115"/>
      <c r="T816" s="115"/>
      <c r="U816" s="115"/>
      <c r="V816" s="115"/>
      <c r="W816" s="115"/>
      <c r="X816" s="115"/>
      <c r="Y816" s="115"/>
      <c r="Z816" s="115"/>
    </row>
    <row r="817" spans="1:26" ht="15.75" customHeight="1" x14ac:dyDescent="0.25">
      <c r="A817" s="115"/>
      <c r="B817" s="115"/>
      <c r="C817" s="115"/>
      <c r="D817" s="115"/>
      <c r="E817" s="115"/>
      <c r="F817" s="115"/>
      <c r="G817" s="115"/>
      <c r="H817" s="115"/>
      <c r="I817" s="115"/>
      <c r="J817" s="115"/>
      <c r="K817" s="115"/>
      <c r="L817" s="115"/>
      <c r="M817" s="115"/>
      <c r="N817" s="115"/>
      <c r="O817" s="115"/>
      <c r="P817" s="115"/>
      <c r="Q817" s="115"/>
      <c r="R817" s="115"/>
      <c r="S817" s="115"/>
      <c r="T817" s="115"/>
      <c r="U817" s="115"/>
      <c r="V817" s="115"/>
      <c r="W817" s="115"/>
      <c r="X817" s="115"/>
      <c r="Y817" s="115"/>
      <c r="Z817" s="115"/>
    </row>
    <row r="818" spans="1:26" ht="15.75" customHeight="1" x14ac:dyDescent="0.25">
      <c r="A818" s="115"/>
      <c r="B818" s="115"/>
      <c r="C818" s="115"/>
      <c r="D818" s="115"/>
      <c r="E818" s="115"/>
      <c r="F818" s="115"/>
      <c r="G818" s="115"/>
      <c r="H818" s="115"/>
      <c r="I818" s="115"/>
      <c r="J818" s="115"/>
      <c r="K818" s="115"/>
      <c r="L818" s="115"/>
      <c r="M818" s="115"/>
      <c r="N818" s="115"/>
      <c r="O818" s="115"/>
      <c r="P818" s="115"/>
      <c r="Q818" s="115"/>
      <c r="R818" s="115"/>
      <c r="S818" s="115"/>
      <c r="T818" s="115"/>
      <c r="U818" s="115"/>
      <c r="V818" s="115"/>
      <c r="W818" s="115"/>
      <c r="X818" s="115"/>
      <c r="Y818" s="115"/>
      <c r="Z818" s="115"/>
    </row>
    <row r="819" spans="1:26" ht="15.75" customHeight="1" x14ac:dyDescent="0.25">
      <c r="A819" s="115"/>
      <c r="B819" s="115"/>
      <c r="C819" s="115"/>
      <c r="D819" s="115"/>
      <c r="E819" s="115"/>
      <c r="F819" s="115"/>
      <c r="G819" s="115"/>
      <c r="H819" s="115"/>
      <c r="I819" s="115"/>
      <c r="J819" s="115"/>
      <c r="K819" s="115"/>
      <c r="L819" s="115"/>
      <c r="M819" s="115"/>
      <c r="N819" s="115"/>
      <c r="O819" s="115"/>
      <c r="P819" s="115"/>
      <c r="Q819" s="115"/>
      <c r="R819" s="115"/>
      <c r="S819" s="115"/>
      <c r="T819" s="115"/>
      <c r="U819" s="115"/>
      <c r="V819" s="115"/>
      <c r="W819" s="115"/>
      <c r="X819" s="115"/>
      <c r="Y819" s="115"/>
      <c r="Z819" s="115"/>
    </row>
    <row r="820" spans="1:26" ht="15.75" customHeight="1" x14ac:dyDescent="0.25">
      <c r="A820" s="115"/>
      <c r="B820" s="115"/>
      <c r="C820" s="115"/>
      <c r="D820" s="115"/>
      <c r="E820" s="115"/>
      <c r="F820" s="115"/>
      <c r="G820" s="115"/>
      <c r="H820" s="115"/>
      <c r="I820" s="115"/>
      <c r="J820" s="115"/>
      <c r="K820" s="115"/>
      <c r="L820" s="115"/>
      <c r="M820" s="115"/>
      <c r="N820" s="115"/>
      <c r="O820" s="115"/>
      <c r="P820" s="115"/>
      <c r="Q820" s="115"/>
      <c r="R820" s="115"/>
      <c r="S820" s="115"/>
      <c r="T820" s="115"/>
      <c r="U820" s="115"/>
      <c r="V820" s="115"/>
      <c r="W820" s="115"/>
      <c r="X820" s="115"/>
      <c r="Y820" s="115"/>
      <c r="Z820" s="115"/>
    </row>
    <row r="821" spans="1:26" ht="15.75" customHeight="1" x14ac:dyDescent="0.25">
      <c r="A821" s="115"/>
      <c r="B821" s="115"/>
      <c r="C821" s="115"/>
      <c r="D821" s="115"/>
      <c r="E821" s="115"/>
      <c r="F821" s="115"/>
      <c r="G821" s="115"/>
      <c r="H821" s="115"/>
      <c r="I821" s="115"/>
      <c r="J821" s="115"/>
      <c r="K821" s="115"/>
      <c r="L821" s="115"/>
      <c r="M821" s="115"/>
      <c r="N821" s="115"/>
      <c r="O821" s="115"/>
      <c r="P821" s="115"/>
      <c r="Q821" s="115"/>
      <c r="R821" s="115"/>
      <c r="S821" s="115"/>
      <c r="T821" s="115"/>
      <c r="U821" s="115"/>
      <c r="V821" s="115"/>
      <c r="W821" s="115"/>
      <c r="X821" s="115"/>
      <c r="Y821" s="115"/>
      <c r="Z821" s="115"/>
    </row>
    <row r="822" spans="1:26" ht="15.75" customHeight="1" x14ac:dyDescent="0.25">
      <c r="A822" s="115"/>
      <c r="B822" s="115"/>
      <c r="C822" s="115"/>
      <c r="D822" s="115"/>
      <c r="E822" s="115"/>
      <c r="F822" s="115"/>
      <c r="G822" s="115"/>
      <c r="H822" s="115"/>
      <c r="I822" s="115"/>
      <c r="J822" s="115"/>
      <c r="K822" s="115"/>
      <c r="L822" s="115"/>
      <c r="M822" s="115"/>
      <c r="N822" s="115"/>
      <c r="O822" s="115"/>
      <c r="P822" s="115"/>
      <c r="Q822" s="115"/>
      <c r="R822" s="115"/>
      <c r="S822" s="115"/>
      <c r="T822" s="115"/>
      <c r="U822" s="115"/>
      <c r="V822" s="115"/>
      <c r="W822" s="115"/>
      <c r="X822" s="115"/>
      <c r="Y822" s="115"/>
      <c r="Z822" s="115"/>
    </row>
    <row r="823" spans="1:26" ht="15.75" customHeight="1" x14ac:dyDescent="0.25">
      <c r="A823" s="115"/>
      <c r="B823" s="115"/>
      <c r="C823" s="115"/>
      <c r="D823" s="115"/>
      <c r="E823" s="115"/>
      <c r="F823" s="115"/>
      <c r="G823" s="115"/>
      <c r="H823" s="115"/>
      <c r="I823" s="115"/>
      <c r="J823" s="115"/>
      <c r="K823" s="115"/>
      <c r="L823" s="115"/>
      <c r="M823" s="115"/>
      <c r="N823" s="115"/>
      <c r="O823" s="115"/>
      <c r="P823" s="115"/>
      <c r="Q823" s="115"/>
      <c r="R823" s="115"/>
      <c r="S823" s="115"/>
      <c r="T823" s="115"/>
      <c r="U823" s="115"/>
      <c r="V823" s="115"/>
      <c r="W823" s="115"/>
      <c r="X823" s="115"/>
      <c r="Y823" s="115"/>
      <c r="Z823" s="115"/>
    </row>
    <row r="824" spans="1:26" ht="15.75" customHeight="1" x14ac:dyDescent="0.25">
      <c r="A824" s="115"/>
      <c r="B824" s="115"/>
      <c r="C824" s="115"/>
      <c r="D824" s="115"/>
      <c r="E824" s="115"/>
      <c r="F824" s="115"/>
      <c r="G824" s="115"/>
      <c r="H824" s="115"/>
      <c r="I824" s="115"/>
      <c r="J824" s="115"/>
      <c r="K824" s="115"/>
      <c r="L824" s="115"/>
      <c r="M824" s="115"/>
      <c r="N824" s="115"/>
      <c r="O824" s="115"/>
      <c r="P824" s="115"/>
      <c r="Q824" s="115"/>
      <c r="R824" s="115"/>
      <c r="S824" s="115"/>
      <c r="T824" s="115"/>
      <c r="U824" s="115"/>
      <c r="V824" s="115"/>
      <c r="W824" s="115"/>
      <c r="X824" s="115"/>
      <c r="Y824" s="115"/>
      <c r="Z824" s="115"/>
    </row>
    <row r="825" spans="1:26" ht="15.75" customHeight="1" x14ac:dyDescent="0.25">
      <c r="A825" s="115"/>
      <c r="B825" s="115"/>
      <c r="C825" s="115"/>
      <c r="D825" s="115"/>
      <c r="E825" s="115"/>
      <c r="F825" s="115"/>
      <c r="G825" s="115"/>
      <c r="H825" s="115"/>
      <c r="I825" s="115"/>
      <c r="J825" s="115"/>
      <c r="K825" s="115"/>
      <c r="L825" s="115"/>
      <c r="M825" s="115"/>
      <c r="N825" s="115"/>
      <c r="O825" s="115"/>
      <c r="P825" s="115"/>
      <c r="Q825" s="115"/>
      <c r="R825" s="115"/>
      <c r="S825" s="115"/>
      <c r="T825" s="115"/>
      <c r="U825" s="115"/>
      <c r="V825" s="115"/>
      <c r="W825" s="115"/>
      <c r="X825" s="115"/>
      <c r="Y825" s="115"/>
      <c r="Z825" s="115"/>
    </row>
    <row r="826" spans="1:26" ht="15.75" customHeight="1" x14ac:dyDescent="0.25">
      <c r="A826" s="115"/>
      <c r="B826" s="115"/>
      <c r="C826" s="115"/>
      <c r="D826" s="115"/>
      <c r="E826" s="115"/>
      <c r="F826" s="115"/>
      <c r="G826" s="115"/>
      <c r="H826" s="115"/>
      <c r="I826" s="115"/>
      <c r="J826" s="115"/>
      <c r="K826" s="115"/>
      <c r="L826" s="115"/>
      <c r="M826" s="115"/>
      <c r="N826" s="115"/>
      <c r="O826" s="115"/>
      <c r="P826" s="115"/>
      <c r="Q826" s="115"/>
      <c r="R826" s="115"/>
      <c r="S826" s="115"/>
      <c r="T826" s="115"/>
      <c r="U826" s="115"/>
      <c r="V826" s="115"/>
      <c r="W826" s="115"/>
      <c r="X826" s="115"/>
      <c r="Y826" s="115"/>
      <c r="Z826" s="115"/>
    </row>
    <row r="827" spans="1:26" ht="15.75" customHeight="1" x14ac:dyDescent="0.25">
      <c r="A827" s="115"/>
      <c r="B827" s="115"/>
      <c r="C827" s="115"/>
      <c r="D827" s="115"/>
      <c r="E827" s="115"/>
      <c r="F827" s="115"/>
      <c r="G827" s="115"/>
      <c r="H827" s="115"/>
      <c r="I827" s="115"/>
      <c r="J827" s="115"/>
      <c r="K827" s="115"/>
      <c r="L827" s="115"/>
      <c r="M827" s="115"/>
      <c r="N827" s="115"/>
      <c r="O827" s="115"/>
      <c r="P827" s="115"/>
      <c r="Q827" s="115"/>
      <c r="R827" s="115"/>
      <c r="S827" s="115"/>
      <c r="T827" s="115"/>
      <c r="U827" s="115"/>
      <c r="V827" s="115"/>
      <c r="W827" s="115"/>
      <c r="X827" s="115"/>
      <c r="Y827" s="115"/>
      <c r="Z827" s="115"/>
    </row>
    <row r="828" spans="1:26" ht="15.75" customHeight="1" x14ac:dyDescent="0.25">
      <c r="A828" s="115"/>
      <c r="B828" s="115"/>
      <c r="C828" s="115"/>
      <c r="D828" s="115"/>
      <c r="E828" s="115"/>
      <c r="F828" s="115"/>
      <c r="G828" s="115"/>
      <c r="H828" s="115"/>
      <c r="I828" s="115"/>
      <c r="J828" s="115"/>
      <c r="K828" s="115"/>
      <c r="L828" s="115"/>
      <c r="M828" s="115"/>
      <c r="N828" s="115"/>
      <c r="O828" s="115"/>
      <c r="P828" s="115"/>
      <c r="Q828" s="115"/>
      <c r="R828" s="115"/>
      <c r="S828" s="115"/>
      <c r="T828" s="115"/>
      <c r="U828" s="115"/>
      <c r="V828" s="115"/>
      <c r="W828" s="115"/>
      <c r="X828" s="115"/>
      <c r="Y828" s="115"/>
      <c r="Z828" s="115"/>
    </row>
    <row r="829" spans="1:26" ht="15.75" customHeight="1" x14ac:dyDescent="0.25">
      <c r="A829" s="115"/>
      <c r="B829" s="115"/>
      <c r="C829" s="115"/>
      <c r="D829" s="115"/>
      <c r="E829" s="115"/>
      <c r="F829" s="115"/>
      <c r="G829" s="115"/>
      <c r="H829" s="115"/>
      <c r="I829" s="115"/>
      <c r="J829" s="115"/>
      <c r="K829" s="115"/>
      <c r="L829" s="115"/>
      <c r="M829" s="115"/>
      <c r="N829" s="115"/>
      <c r="O829" s="115"/>
      <c r="P829" s="115"/>
      <c r="Q829" s="115"/>
      <c r="R829" s="115"/>
      <c r="S829" s="115"/>
      <c r="T829" s="115"/>
      <c r="U829" s="115"/>
      <c r="V829" s="115"/>
      <c r="W829" s="115"/>
      <c r="X829" s="115"/>
      <c r="Y829" s="115"/>
      <c r="Z829" s="115"/>
    </row>
    <row r="830" spans="1:26" ht="15.75" customHeight="1" x14ac:dyDescent="0.25">
      <c r="A830" s="115"/>
      <c r="B830" s="115"/>
      <c r="C830" s="115"/>
      <c r="D830" s="115"/>
      <c r="E830" s="115"/>
      <c r="F830" s="115"/>
      <c r="G830" s="115"/>
      <c r="H830" s="115"/>
      <c r="I830" s="115"/>
      <c r="J830" s="115"/>
      <c r="K830" s="115"/>
      <c r="L830" s="115"/>
      <c r="M830" s="115"/>
      <c r="N830" s="115"/>
      <c r="O830" s="115"/>
      <c r="P830" s="115"/>
      <c r="Q830" s="115"/>
      <c r="R830" s="115"/>
      <c r="S830" s="115"/>
      <c r="T830" s="115"/>
      <c r="U830" s="115"/>
      <c r="V830" s="115"/>
      <c r="W830" s="115"/>
      <c r="X830" s="115"/>
      <c r="Y830" s="115"/>
      <c r="Z830" s="115"/>
    </row>
    <row r="831" spans="1:26" ht="15.75" customHeight="1" x14ac:dyDescent="0.25">
      <c r="A831" s="115"/>
      <c r="B831" s="115"/>
      <c r="C831" s="115"/>
      <c r="D831" s="115"/>
      <c r="E831" s="115"/>
      <c r="F831" s="115"/>
      <c r="G831" s="115"/>
      <c r="H831" s="115"/>
      <c r="I831" s="115"/>
      <c r="J831" s="115"/>
      <c r="K831" s="115"/>
      <c r="L831" s="115"/>
      <c r="M831" s="115"/>
      <c r="N831" s="115"/>
      <c r="O831" s="115"/>
      <c r="P831" s="115"/>
      <c r="Q831" s="115"/>
      <c r="R831" s="115"/>
      <c r="S831" s="115"/>
      <c r="T831" s="115"/>
      <c r="U831" s="115"/>
      <c r="V831" s="115"/>
      <c r="W831" s="115"/>
      <c r="X831" s="115"/>
      <c r="Y831" s="115"/>
      <c r="Z831" s="115"/>
    </row>
    <row r="832" spans="1:26" ht="15.75" customHeight="1" x14ac:dyDescent="0.25">
      <c r="A832" s="115"/>
      <c r="B832" s="115"/>
      <c r="C832" s="115"/>
      <c r="D832" s="115"/>
      <c r="E832" s="115"/>
      <c r="F832" s="115"/>
      <c r="G832" s="115"/>
      <c r="H832" s="115"/>
      <c r="I832" s="115"/>
      <c r="J832" s="115"/>
      <c r="K832" s="115"/>
      <c r="L832" s="115"/>
      <c r="M832" s="115"/>
      <c r="N832" s="115"/>
      <c r="O832" s="115"/>
      <c r="P832" s="115"/>
      <c r="Q832" s="115"/>
      <c r="R832" s="115"/>
      <c r="S832" s="115"/>
      <c r="T832" s="115"/>
      <c r="U832" s="115"/>
      <c r="V832" s="115"/>
      <c r="W832" s="115"/>
      <c r="X832" s="115"/>
      <c r="Y832" s="115"/>
      <c r="Z832" s="115"/>
    </row>
    <row r="833" spans="1:26" ht="15.75" customHeight="1" x14ac:dyDescent="0.25">
      <c r="A833" s="115"/>
      <c r="B833" s="115"/>
      <c r="C833" s="115"/>
      <c r="D833" s="115"/>
      <c r="E833" s="115"/>
      <c r="F833" s="115"/>
      <c r="G833" s="115"/>
      <c r="H833" s="115"/>
      <c r="I833" s="115"/>
      <c r="J833" s="115"/>
      <c r="K833" s="115"/>
      <c r="L833" s="115"/>
      <c r="M833" s="115"/>
      <c r="N833" s="115"/>
      <c r="O833" s="115"/>
      <c r="P833" s="115"/>
      <c r="Q833" s="115"/>
      <c r="R833" s="115"/>
      <c r="S833" s="115"/>
      <c r="T833" s="115"/>
      <c r="U833" s="115"/>
      <c r="V833" s="115"/>
      <c r="W833" s="115"/>
      <c r="X833" s="115"/>
      <c r="Y833" s="115"/>
      <c r="Z833" s="115"/>
    </row>
    <row r="834" spans="1:26" ht="15.75" customHeight="1" x14ac:dyDescent="0.25">
      <c r="A834" s="115"/>
      <c r="B834" s="115"/>
      <c r="C834" s="115"/>
      <c r="D834" s="115"/>
      <c r="E834" s="115"/>
      <c r="F834" s="115"/>
      <c r="G834" s="115"/>
      <c r="H834" s="115"/>
      <c r="I834" s="115"/>
      <c r="J834" s="115"/>
      <c r="K834" s="115"/>
      <c r="L834" s="115"/>
      <c r="M834" s="115"/>
      <c r="N834" s="115"/>
      <c r="O834" s="115"/>
      <c r="P834" s="115"/>
      <c r="Q834" s="115"/>
      <c r="R834" s="115"/>
      <c r="S834" s="115"/>
      <c r="T834" s="115"/>
      <c r="U834" s="115"/>
      <c r="V834" s="115"/>
      <c r="W834" s="115"/>
      <c r="X834" s="115"/>
      <c r="Y834" s="115"/>
      <c r="Z834" s="115"/>
    </row>
    <row r="835" spans="1:26" ht="15.75" customHeight="1" x14ac:dyDescent="0.25">
      <c r="A835" s="115"/>
      <c r="B835" s="115"/>
      <c r="C835" s="115"/>
      <c r="D835" s="115"/>
      <c r="E835" s="115"/>
      <c r="F835" s="115"/>
      <c r="G835" s="115"/>
      <c r="H835" s="115"/>
      <c r="I835" s="115"/>
      <c r="J835" s="115"/>
      <c r="K835" s="115"/>
      <c r="L835" s="115"/>
      <c r="M835" s="115"/>
      <c r="N835" s="115"/>
      <c r="O835" s="115"/>
      <c r="P835" s="115"/>
      <c r="Q835" s="115"/>
      <c r="R835" s="115"/>
      <c r="S835" s="115"/>
      <c r="T835" s="115"/>
      <c r="U835" s="115"/>
      <c r="V835" s="115"/>
      <c r="W835" s="115"/>
      <c r="X835" s="115"/>
      <c r="Y835" s="115"/>
      <c r="Z835" s="115"/>
    </row>
    <row r="836" spans="1:26" ht="15.75" customHeight="1" x14ac:dyDescent="0.25">
      <c r="A836" s="115"/>
      <c r="B836" s="115"/>
      <c r="C836" s="115"/>
      <c r="D836" s="115"/>
      <c r="E836" s="115"/>
      <c r="F836" s="115"/>
      <c r="G836" s="115"/>
      <c r="H836" s="115"/>
      <c r="I836" s="115"/>
      <c r="J836" s="115"/>
      <c r="K836" s="115"/>
      <c r="L836" s="115"/>
      <c r="M836" s="115"/>
      <c r="N836" s="115"/>
      <c r="O836" s="115"/>
      <c r="P836" s="115"/>
      <c r="Q836" s="115"/>
      <c r="R836" s="115"/>
      <c r="S836" s="115"/>
      <c r="T836" s="115"/>
      <c r="U836" s="115"/>
      <c r="V836" s="115"/>
      <c r="W836" s="115"/>
      <c r="X836" s="115"/>
      <c r="Y836" s="115"/>
      <c r="Z836" s="115"/>
    </row>
    <row r="837" spans="1:26" ht="15.75" customHeight="1" x14ac:dyDescent="0.25">
      <c r="A837" s="115"/>
      <c r="B837" s="115"/>
      <c r="C837" s="115"/>
      <c r="D837" s="115"/>
      <c r="E837" s="115"/>
      <c r="F837" s="115"/>
      <c r="G837" s="115"/>
      <c r="H837" s="115"/>
      <c r="I837" s="115"/>
      <c r="J837" s="115"/>
      <c r="K837" s="115"/>
      <c r="L837" s="115"/>
      <c r="M837" s="115"/>
      <c r="N837" s="115"/>
      <c r="O837" s="115"/>
      <c r="P837" s="115"/>
      <c r="Q837" s="115"/>
      <c r="R837" s="115"/>
      <c r="S837" s="115"/>
      <c r="T837" s="115"/>
      <c r="U837" s="115"/>
      <c r="V837" s="115"/>
      <c r="W837" s="115"/>
      <c r="X837" s="115"/>
      <c r="Y837" s="115"/>
      <c r="Z837" s="115"/>
    </row>
    <row r="838" spans="1:26" ht="15.75" customHeight="1" x14ac:dyDescent="0.25">
      <c r="A838" s="115"/>
      <c r="B838" s="115"/>
      <c r="C838" s="115"/>
      <c r="D838" s="115"/>
      <c r="E838" s="115"/>
      <c r="F838" s="115"/>
      <c r="G838" s="115"/>
      <c r="H838" s="115"/>
      <c r="I838" s="115"/>
      <c r="J838" s="115"/>
      <c r="K838" s="115"/>
      <c r="L838" s="115"/>
      <c r="M838" s="115"/>
      <c r="N838" s="115"/>
      <c r="O838" s="115"/>
      <c r="P838" s="115"/>
      <c r="Q838" s="115"/>
      <c r="R838" s="115"/>
      <c r="S838" s="115"/>
      <c r="T838" s="115"/>
      <c r="U838" s="115"/>
      <c r="V838" s="115"/>
      <c r="W838" s="115"/>
      <c r="X838" s="115"/>
      <c r="Y838" s="115"/>
      <c r="Z838" s="115"/>
    </row>
    <row r="839" spans="1:26" ht="15.75" customHeight="1" x14ac:dyDescent="0.25">
      <c r="A839" s="115"/>
      <c r="B839" s="115"/>
      <c r="C839" s="115"/>
      <c r="D839" s="115"/>
      <c r="E839" s="115"/>
      <c r="F839" s="115"/>
      <c r="G839" s="115"/>
      <c r="H839" s="115"/>
      <c r="I839" s="115"/>
      <c r="J839" s="115"/>
      <c r="K839" s="115"/>
      <c r="L839" s="115"/>
      <c r="M839" s="115"/>
      <c r="N839" s="115"/>
      <c r="O839" s="115"/>
      <c r="P839" s="115"/>
      <c r="Q839" s="115"/>
      <c r="R839" s="115"/>
      <c r="S839" s="115"/>
      <c r="T839" s="115"/>
      <c r="U839" s="115"/>
      <c r="V839" s="115"/>
      <c r="W839" s="115"/>
      <c r="X839" s="115"/>
      <c r="Y839" s="115"/>
      <c r="Z839" s="115"/>
    </row>
    <row r="840" spans="1:26" ht="15.75" customHeight="1" x14ac:dyDescent="0.25">
      <c r="A840" s="115"/>
      <c r="B840" s="115"/>
      <c r="C840" s="115"/>
      <c r="D840" s="115"/>
      <c r="E840" s="115"/>
      <c r="F840" s="115"/>
      <c r="G840" s="115"/>
      <c r="H840" s="115"/>
      <c r="I840" s="115"/>
      <c r="J840" s="115"/>
      <c r="K840" s="115"/>
      <c r="L840" s="115"/>
      <c r="M840" s="115"/>
      <c r="N840" s="115"/>
      <c r="O840" s="115"/>
      <c r="P840" s="115"/>
      <c r="Q840" s="115"/>
      <c r="R840" s="115"/>
      <c r="S840" s="115"/>
      <c r="T840" s="115"/>
      <c r="U840" s="115"/>
      <c r="V840" s="115"/>
      <c r="W840" s="115"/>
      <c r="X840" s="115"/>
      <c r="Y840" s="115"/>
      <c r="Z840" s="115"/>
    </row>
    <row r="841" spans="1:26" ht="15.75" customHeight="1" x14ac:dyDescent="0.25">
      <c r="A841" s="115"/>
      <c r="B841" s="115"/>
      <c r="C841" s="115"/>
      <c r="D841" s="115"/>
      <c r="E841" s="115"/>
      <c r="F841" s="115"/>
      <c r="G841" s="115"/>
      <c r="H841" s="115"/>
      <c r="I841" s="115"/>
      <c r="J841" s="115"/>
      <c r="K841" s="115"/>
      <c r="L841" s="115"/>
      <c r="M841" s="115"/>
      <c r="N841" s="115"/>
      <c r="O841" s="115"/>
      <c r="P841" s="115"/>
      <c r="Q841" s="115"/>
      <c r="R841" s="115"/>
      <c r="S841" s="115"/>
      <c r="T841" s="115"/>
      <c r="U841" s="115"/>
      <c r="V841" s="115"/>
      <c r="W841" s="115"/>
      <c r="X841" s="115"/>
      <c r="Y841" s="115"/>
      <c r="Z841" s="115"/>
    </row>
    <row r="842" spans="1:26" ht="15.75" customHeight="1" x14ac:dyDescent="0.25">
      <c r="A842" s="115"/>
      <c r="B842" s="115"/>
      <c r="C842" s="115"/>
      <c r="D842" s="115"/>
      <c r="E842" s="115"/>
      <c r="F842" s="115"/>
      <c r="G842" s="115"/>
      <c r="H842" s="115"/>
      <c r="I842" s="115"/>
      <c r="J842" s="115"/>
      <c r="K842" s="115"/>
      <c r="L842" s="115"/>
      <c r="M842" s="115"/>
      <c r="N842" s="115"/>
      <c r="O842" s="115"/>
      <c r="P842" s="115"/>
      <c r="Q842" s="115"/>
      <c r="R842" s="115"/>
      <c r="S842" s="115"/>
      <c r="T842" s="115"/>
      <c r="U842" s="115"/>
      <c r="V842" s="115"/>
      <c r="W842" s="115"/>
      <c r="X842" s="115"/>
      <c r="Y842" s="115"/>
      <c r="Z842" s="115"/>
    </row>
    <row r="843" spans="1:26" ht="15.75" customHeight="1" x14ac:dyDescent="0.25">
      <c r="A843" s="115"/>
      <c r="B843" s="115"/>
      <c r="C843" s="115"/>
      <c r="D843" s="115"/>
      <c r="E843" s="115"/>
      <c r="F843" s="115"/>
      <c r="G843" s="115"/>
      <c r="H843" s="115"/>
      <c r="I843" s="115"/>
      <c r="J843" s="115"/>
      <c r="K843" s="115"/>
      <c r="L843" s="115"/>
      <c r="M843" s="115"/>
      <c r="N843" s="115"/>
      <c r="O843" s="115"/>
      <c r="P843" s="115"/>
      <c r="Q843" s="115"/>
      <c r="R843" s="115"/>
      <c r="S843" s="115"/>
      <c r="T843" s="115"/>
      <c r="U843" s="115"/>
      <c r="V843" s="115"/>
      <c r="W843" s="115"/>
      <c r="X843" s="115"/>
      <c r="Y843" s="115"/>
      <c r="Z843" s="115"/>
    </row>
    <row r="844" spans="1:26" ht="15.75" customHeight="1" x14ac:dyDescent="0.25">
      <c r="A844" s="115"/>
      <c r="B844" s="115"/>
      <c r="C844" s="115"/>
      <c r="D844" s="115"/>
      <c r="E844" s="115"/>
      <c r="F844" s="115"/>
      <c r="G844" s="115"/>
      <c r="H844" s="115"/>
      <c r="I844" s="115"/>
      <c r="J844" s="115"/>
      <c r="K844" s="115"/>
      <c r="L844" s="115"/>
      <c r="M844" s="115"/>
      <c r="N844" s="115"/>
      <c r="O844" s="115"/>
      <c r="P844" s="115"/>
      <c r="Q844" s="115"/>
      <c r="R844" s="115"/>
      <c r="S844" s="115"/>
      <c r="T844" s="115"/>
      <c r="U844" s="115"/>
      <c r="V844" s="115"/>
      <c r="W844" s="115"/>
      <c r="X844" s="115"/>
      <c r="Y844" s="115"/>
      <c r="Z844" s="115"/>
    </row>
    <row r="845" spans="1:26" ht="15.75" customHeight="1" x14ac:dyDescent="0.25">
      <c r="A845" s="115"/>
      <c r="B845" s="115"/>
      <c r="C845" s="115"/>
      <c r="D845" s="115"/>
      <c r="E845" s="115"/>
      <c r="F845" s="115"/>
      <c r="G845" s="115"/>
      <c r="H845" s="115"/>
      <c r="I845" s="115"/>
      <c r="J845" s="115"/>
      <c r="K845" s="115"/>
      <c r="L845" s="115"/>
      <c r="M845" s="115"/>
      <c r="N845" s="115"/>
      <c r="O845" s="115"/>
      <c r="P845" s="115"/>
      <c r="Q845" s="115"/>
      <c r="R845" s="115"/>
      <c r="S845" s="115"/>
      <c r="T845" s="115"/>
      <c r="U845" s="115"/>
      <c r="V845" s="115"/>
      <c r="W845" s="115"/>
      <c r="X845" s="115"/>
      <c r="Y845" s="115"/>
      <c r="Z845" s="115"/>
    </row>
    <row r="846" spans="1:26" ht="15.75" customHeight="1" x14ac:dyDescent="0.25">
      <c r="A846" s="115"/>
      <c r="B846" s="115"/>
      <c r="C846" s="115"/>
      <c r="D846" s="115"/>
      <c r="E846" s="115"/>
      <c r="F846" s="115"/>
      <c r="G846" s="115"/>
      <c r="H846" s="115"/>
      <c r="I846" s="115"/>
      <c r="J846" s="115"/>
      <c r="K846" s="115"/>
      <c r="L846" s="115"/>
      <c r="M846" s="115"/>
      <c r="N846" s="115"/>
      <c r="O846" s="115"/>
      <c r="P846" s="115"/>
      <c r="Q846" s="115"/>
      <c r="R846" s="115"/>
      <c r="S846" s="115"/>
      <c r="T846" s="115"/>
      <c r="U846" s="115"/>
      <c r="V846" s="115"/>
      <c r="W846" s="115"/>
      <c r="X846" s="115"/>
      <c r="Y846" s="115"/>
      <c r="Z846" s="115"/>
    </row>
    <row r="847" spans="1:26" ht="15.75" customHeight="1" x14ac:dyDescent="0.25">
      <c r="A847" s="115"/>
      <c r="B847" s="115"/>
      <c r="C847" s="115"/>
      <c r="D847" s="115"/>
      <c r="E847" s="115"/>
      <c r="F847" s="115"/>
      <c r="G847" s="115"/>
      <c r="H847" s="115"/>
      <c r="I847" s="115"/>
      <c r="J847" s="115"/>
      <c r="K847" s="115"/>
      <c r="L847" s="115"/>
      <c r="M847" s="115"/>
      <c r="N847" s="115"/>
      <c r="O847" s="115"/>
      <c r="P847" s="115"/>
      <c r="Q847" s="115"/>
      <c r="R847" s="115"/>
      <c r="S847" s="115"/>
      <c r="T847" s="115"/>
      <c r="U847" s="115"/>
      <c r="V847" s="115"/>
      <c r="W847" s="115"/>
      <c r="X847" s="115"/>
      <c r="Y847" s="115"/>
      <c r="Z847" s="115"/>
    </row>
    <row r="848" spans="1:26" ht="15.75" customHeight="1" x14ac:dyDescent="0.25">
      <c r="A848" s="115"/>
      <c r="B848" s="115"/>
      <c r="C848" s="115"/>
      <c r="D848" s="115"/>
      <c r="E848" s="115"/>
      <c r="F848" s="115"/>
      <c r="G848" s="115"/>
      <c r="H848" s="115"/>
      <c r="I848" s="115"/>
      <c r="J848" s="115"/>
      <c r="K848" s="115"/>
      <c r="L848" s="115"/>
      <c r="M848" s="115"/>
      <c r="N848" s="115"/>
      <c r="O848" s="115"/>
      <c r="P848" s="115"/>
      <c r="Q848" s="115"/>
      <c r="R848" s="115"/>
      <c r="S848" s="115"/>
      <c r="T848" s="115"/>
      <c r="U848" s="115"/>
      <c r="V848" s="115"/>
      <c r="W848" s="115"/>
      <c r="X848" s="115"/>
      <c r="Y848" s="115"/>
      <c r="Z848" s="115"/>
    </row>
    <row r="849" spans="1:26" ht="15.75" customHeight="1" x14ac:dyDescent="0.25">
      <c r="A849" s="115"/>
      <c r="B849" s="115"/>
      <c r="C849" s="115"/>
      <c r="D849" s="115"/>
      <c r="E849" s="115"/>
      <c r="F849" s="115"/>
      <c r="G849" s="115"/>
      <c r="H849" s="115"/>
      <c r="I849" s="115"/>
      <c r="J849" s="115"/>
      <c r="K849" s="115"/>
      <c r="L849" s="115"/>
      <c r="M849" s="115"/>
      <c r="N849" s="115"/>
      <c r="O849" s="115"/>
      <c r="P849" s="115"/>
      <c r="Q849" s="115"/>
      <c r="R849" s="115"/>
      <c r="S849" s="115"/>
      <c r="T849" s="115"/>
      <c r="U849" s="115"/>
      <c r="V849" s="115"/>
      <c r="W849" s="115"/>
      <c r="X849" s="115"/>
      <c r="Y849" s="115"/>
      <c r="Z849" s="115"/>
    </row>
    <row r="850" spans="1:26" ht="15.75" customHeight="1" x14ac:dyDescent="0.25">
      <c r="A850" s="115"/>
      <c r="B850" s="115"/>
      <c r="C850" s="115"/>
      <c r="D850" s="115"/>
      <c r="E850" s="115"/>
      <c r="F850" s="115"/>
      <c r="G850" s="115"/>
      <c r="H850" s="115"/>
      <c r="I850" s="115"/>
      <c r="J850" s="115"/>
      <c r="K850" s="115"/>
      <c r="L850" s="115"/>
      <c r="M850" s="115"/>
      <c r="N850" s="115"/>
      <c r="O850" s="115"/>
      <c r="P850" s="115"/>
      <c r="Q850" s="115"/>
      <c r="R850" s="115"/>
      <c r="S850" s="115"/>
      <c r="T850" s="115"/>
      <c r="U850" s="115"/>
      <c r="V850" s="115"/>
      <c r="W850" s="115"/>
      <c r="X850" s="115"/>
      <c r="Y850" s="115"/>
      <c r="Z850" s="115"/>
    </row>
    <row r="851" spans="1:26" ht="15.75" customHeight="1" x14ac:dyDescent="0.25">
      <c r="A851" s="115"/>
      <c r="B851" s="115"/>
      <c r="C851" s="115"/>
      <c r="D851" s="115"/>
      <c r="E851" s="115"/>
      <c r="F851" s="115"/>
      <c r="G851" s="115"/>
      <c r="H851" s="115"/>
      <c r="I851" s="115"/>
      <c r="J851" s="115"/>
      <c r="K851" s="115"/>
      <c r="L851" s="115"/>
      <c r="M851" s="115"/>
      <c r="N851" s="115"/>
      <c r="O851" s="115"/>
      <c r="P851" s="115"/>
      <c r="Q851" s="115"/>
      <c r="R851" s="115"/>
      <c r="S851" s="115"/>
      <c r="T851" s="115"/>
      <c r="U851" s="115"/>
      <c r="V851" s="115"/>
      <c r="W851" s="115"/>
      <c r="X851" s="115"/>
      <c r="Y851" s="115"/>
      <c r="Z851" s="115"/>
    </row>
    <row r="852" spans="1:26" ht="15.75" customHeight="1" x14ac:dyDescent="0.25">
      <c r="A852" s="115"/>
      <c r="B852" s="115"/>
      <c r="C852" s="115"/>
      <c r="D852" s="115"/>
      <c r="E852" s="115"/>
      <c r="F852" s="115"/>
      <c r="G852" s="115"/>
      <c r="H852" s="115"/>
      <c r="I852" s="115"/>
      <c r="J852" s="115"/>
      <c r="K852" s="115"/>
      <c r="L852" s="115"/>
      <c r="M852" s="115"/>
      <c r="N852" s="115"/>
      <c r="O852" s="115"/>
      <c r="P852" s="115"/>
      <c r="Q852" s="115"/>
      <c r="R852" s="115"/>
      <c r="S852" s="115"/>
      <c r="T852" s="115"/>
      <c r="U852" s="115"/>
      <c r="V852" s="115"/>
      <c r="W852" s="115"/>
      <c r="X852" s="115"/>
      <c r="Y852" s="115"/>
      <c r="Z852" s="115"/>
    </row>
    <row r="853" spans="1:26" ht="15.75" customHeight="1" x14ac:dyDescent="0.25">
      <c r="A853" s="115"/>
      <c r="B853" s="115"/>
      <c r="C853" s="115"/>
      <c r="D853" s="115"/>
      <c r="E853" s="115"/>
      <c r="F853" s="115"/>
      <c r="G853" s="115"/>
      <c r="H853" s="115"/>
      <c r="I853" s="115"/>
      <c r="J853" s="115"/>
      <c r="K853" s="115"/>
      <c r="L853" s="115"/>
      <c r="M853" s="115"/>
      <c r="N853" s="115"/>
      <c r="O853" s="115"/>
      <c r="P853" s="115"/>
      <c r="Q853" s="115"/>
      <c r="R853" s="115"/>
      <c r="S853" s="115"/>
      <c r="T853" s="115"/>
      <c r="U853" s="115"/>
      <c r="V853" s="115"/>
      <c r="W853" s="115"/>
      <c r="X853" s="115"/>
      <c r="Y853" s="115"/>
      <c r="Z853" s="115"/>
    </row>
    <row r="854" spans="1:26" ht="15.75" customHeight="1" x14ac:dyDescent="0.25">
      <c r="A854" s="115"/>
      <c r="B854" s="115"/>
      <c r="C854" s="115"/>
      <c r="D854" s="115"/>
      <c r="E854" s="115"/>
      <c r="F854" s="115"/>
      <c r="G854" s="115"/>
      <c r="H854" s="115"/>
      <c r="I854" s="115"/>
      <c r="J854" s="115"/>
      <c r="K854" s="115"/>
      <c r="L854" s="115"/>
      <c r="M854" s="115"/>
      <c r="N854" s="115"/>
      <c r="O854" s="115"/>
      <c r="P854" s="115"/>
      <c r="Q854" s="115"/>
      <c r="R854" s="115"/>
      <c r="S854" s="115"/>
      <c r="T854" s="115"/>
      <c r="U854" s="115"/>
      <c r="V854" s="115"/>
      <c r="W854" s="115"/>
      <c r="X854" s="115"/>
      <c r="Y854" s="115"/>
      <c r="Z854" s="115"/>
    </row>
    <row r="855" spans="1:26" ht="15.75" customHeight="1" x14ac:dyDescent="0.25">
      <c r="A855" s="115"/>
      <c r="B855" s="115"/>
      <c r="C855" s="115"/>
      <c r="D855" s="115"/>
      <c r="E855" s="115"/>
      <c r="F855" s="115"/>
      <c r="G855" s="115"/>
      <c r="H855" s="115"/>
      <c r="I855" s="115"/>
      <c r="J855" s="115"/>
      <c r="K855" s="115"/>
      <c r="L855" s="115"/>
      <c r="M855" s="115"/>
      <c r="N855" s="115"/>
      <c r="O855" s="115"/>
      <c r="P855" s="115"/>
      <c r="Q855" s="115"/>
      <c r="R855" s="115"/>
      <c r="S855" s="115"/>
      <c r="T855" s="115"/>
      <c r="U855" s="115"/>
      <c r="V855" s="115"/>
      <c r="W855" s="115"/>
      <c r="X855" s="115"/>
      <c r="Y855" s="115"/>
      <c r="Z855" s="115"/>
    </row>
    <row r="856" spans="1:26" ht="15.75" customHeight="1" x14ac:dyDescent="0.25">
      <c r="A856" s="115"/>
      <c r="B856" s="115"/>
      <c r="C856" s="115"/>
      <c r="D856" s="115"/>
      <c r="E856" s="115"/>
      <c r="F856" s="115"/>
      <c r="G856" s="115"/>
      <c r="H856" s="115"/>
      <c r="I856" s="115"/>
      <c r="J856" s="115"/>
      <c r="K856" s="115"/>
      <c r="L856" s="115"/>
      <c r="M856" s="115"/>
      <c r="N856" s="115"/>
      <c r="O856" s="115"/>
      <c r="P856" s="115"/>
      <c r="Q856" s="115"/>
      <c r="R856" s="115"/>
      <c r="S856" s="115"/>
      <c r="T856" s="115"/>
      <c r="U856" s="115"/>
      <c r="V856" s="115"/>
      <c r="W856" s="115"/>
      <c r="X856" s="115"/>
      <c r="Y856" s="115"/>
      <c r="Z856" s="115"/>
    </row>
    <row r="857" spans="1:26" ht="15.75" customHeight="1" x14ac:dyDescent="0.25">
      <c r="A857" s="115"/>
      <c r="B857" s="115"/>
      <c r="C857" s="115"/>
      <c r="D857" s="115"/>
      <c r="E857" s="115"/>
      <c r="F857" s="115"/>
      <c r="G857" s="115"/>
      <c r="H857" s="115"/>
      <c r="I857" s="115"/>
      <c r="J857" s="115"/>
      <c r="K857" s="115"/>
      <c r="L857" s="115"/>
      <c r="M857" s="115"/>
      <c r="N857" s="115"/>
      <c r="O857" s="115"/>
      <c r="P857" s="115"/>
      <c r="Q857" s="115"/>
      <c r="R857" s="115"/>
      <c r="S857" s="115"/>
      <c r="T857" s="115"/>
      <c r="U857" s="115"/>
      <c r="V857" s="115"/>
      <c r="W857" s="115"/>
      <c r="X857" s="115"/>
      <c r="Y857" s="115"/>
      <c r="Z857" s="115"/>
    </row>
    <row r="858" spans="1:26" ht="15.75" customHeight="1" x14ac:dyDescent="0.25">
      <c r="A858" s="115"/>
      <c r="B858" s="115"/>
      <c r="C858" s="115"/>
      <c r="D858" s="115"/>
      <c r="E858" s="115"/>
      <c r="F858" s="115"/>
      <c r="G858" s="115"/>
      <c r="H858" s="115"/>
      <c r="I858" s="115"/>
      <c r="J858" s="115"/>
      <c r="K858" s="115"/>
      <c r="L858" s="115"/>
      <c r="M858" s="115"/>
      <c r="N858" s="115"/>
      <c r="O858" s="115"/>
      <c r="P858" s="115"/>
      <c r="Q858" s="115"/>
      <c r="R858" s="115"/>
      <c r="S858" s="115"/>
      <c r="T858" s="115"/>
      <c r="U858" s="115"/>
      <c r="V858" s="115"/>
      <c r="W858" s="115"/>
      <c r="X858" s="115"/>
      <c r="Y858" s="115"/>
      <c r="Z858" s="115"/>
    </row>
    <row r="859" spans="1:26" ht="15.75" customHeight="1" x14ac:dyDescent="0.25">
      <c r="A859" s="115"/>
      <c r="B859" s="115"/>
      <c r="C859" s="115"/>
      <c r="D859" s="115"/>
      <c r="E859" s="115"/>
      <c r="F859" s="115"/>
      <c r="G859" s="115"/>
      <c r="H859" s="115"/>
      <c r="I859" s="115"/>
      <c r="J859" s="115"/>
      <c r="K859" s="115"/>
      <c r="L859" s="115"/>
      <c r="M859" s="115"/>
      <c r="N859" s="115"/>
      <c r="O859" s="115"/>
      <c r="P859" s="115"/>
      <c r="Q859" s="115"/>
      <c r="R859" s="115"/>
      <c r="S859" s="115"/>
      <c r="T859" s="115"/>
      <c r="U859" s="115"/>
      <c r="V859" s="115"/>
      <c r="W859" s="115"/>
      <c r="X859" s="115"/>
      <c r="Y859" s="115"/>
      <c r="Z859" s="115"/>
    </row>
    <row r="860" spans="1:26" ht="15.75" customHeight="1" x14ac:dyDescent="0.25">
      <c r="A860" s="115"/>
      <c r="B860" s="115"/>
      <c r="C860" s="115"/>
      <c r="D860" s="115"/>
      <c r="E860" s="115"/>
      <c r="F860" s="115"/>
      <c r="G860" s="115"/>
      <c r="H860" s="115"/>
      <c r="I860" s="115"/>
      <c r="J860" s="115"/>
      <c r="K860" s="115"/>
      <c r="L860" s="115"/>
      <c r="M860" s="115"/>
      <c r="N860" s="115"/>
      <c r="O860" s="115"/>
      <c r="P860" s="115"/>
      <c r="Q860" s="115"/>
      <c r="R860" s="115"/>
      <c r="S860" s="115"/>
      <c r="T860" s="115"/>
      <c r="U860" s="115"/>
      <c r="V860" s="115"/>
      <c r="W860" s="115"/>
      <c r="X860" s="115"/>
      <c r="Y860" s="115"/>
      <c r="Z860" s="115"/>
    </row>
    <row r="861" spans="1:26" ht="15.75" customHeight="1" x14ac:dyDescent="0.25">
      <c r="A861" s="115"/>
      <c r="B861" s="115"/>
      <c r="C861" s="115"/>
      <c r="D861" s="115"/>
      <c r="E861" s="115"/>
      <c r="F861" s="115"/>
      <c r="G861" s="115"/>
      <c r="H861" s="115"/>
      <c r="I861" s="115"/>
      <c r="J861" s="115"/>
      <c r="K861" s="115"/>
      <c r="L861" s="115"/>
      <c r="M861" s="115"/>
      <c r="N861" s="115"/>
      <c r="O861" s="115"/>
      <c r="P861" s="115"/>
      <c r="Q861" s="115"/>
      <c r="R861" s="115"/>
      <c r="S861" s="115"/>
      <c r="T861" s="115"/>
      <c r="U861" s="115"/>
      <c r="V861" s="115"/>
      <c r="W861" s="115"/>
      <c r="X861" s="115"/>
      <c r="Y861" s="115"/>
      <c r="Z861" s="115"/>
    </row>
    <row r="862" spans="1:26" ht="15.75" customHeight="1" x14ac:dyDescent="0.25">
      <c r="A862" s="115"/>
      <c r="B862" s="115"/>
      <c r="C862" s="115"/>
      <c r="D862" s="115"/>
      <c r="E862" s="115"/>
      <c r="F862" s="115"/>
      <c r="G862" s="115"/>
      <c r="H862" s="115"/>
      <c r="I862" s="115"/>
      <c r="J862" s="115"/>
      <c r="K862" s="115"/>
      <c r="L862" s="115"/>
      <c r="M862" s="115"/>
      <c r="N862" s="115"/>
      <c r="O862" s="115"/>
      <c r="P862" s="115"/>
      <c r="Q862" s="115"/>
      <c r="R862" s="115"/>
      <c r="S862" s="115"/>
      <c r="T862" s="115"/>
      <c r="U862" s="115"/>
      <c r="V862" s="115"/>
      <c r="W862" s="115"/>
      <c r="X862" s="115"/>
      <c r="Y862" s="115"/>
      <c r="Z862" s="115"/>
    </row>
    <row r="863" spans="1:26" ht="15.75" customHeight="1" x14ac:dyDescent="0.25">
      <c r="A863" s="115"/>
      <c r="B863" s="115"/>
      <c r="C863" s="115"/>
      <c r="D863" s="115"/>
      <c r="E863" s="115"/>
      <c r="F863" s="115"/>
      <c r="G863" s="115"/>
      <c r="H863" s="115"/>
      <c r="I863" s="115"/>
      <c r="J863" s="115"/>
      <c r="K863" s="115"/>
      <c r="L863" s="115"/>
      <c r="M863" s="115"/>
      <c r="N863" s="115"/>
      <c r="O863" s="115"/>
      <c r="P863" s="115"/>
      <c r="Q863" s="115"/>
      <c r="R863" s="115"/>
      <c r="S863" s="115"/>
      <c r="T863" s="115"/>
      <c r="U863" s="115"/>
      <c r="V863" s="115"/>
      <c r="W863" s="115"/>
      <c r="X863" s="115"/>
      <c r="Y863" s="115"/>
      <c r="Z863" s="115"/>
    </row>
    <row r="864" spans="1:26" ht="15.75" customHeight="1" x14ac:dyDescent="0.25">
      <c r="A864" s="115"/>
      <c r="B864" s="115"/>
      <c r="C864" s="115"/>
      <c r="D864" s="115"/>
      <c r="E864" s="115"/>
      <c r="F864" s="115"/>
      <c r="G864" s="115"/>
      <c r="H864" s="115"/>
      <c r="I864" s="115"/>
      <c r="J864" s="115"/>
      <c r="K864" s="115"/>
      <c r="L864" s="115"/>
      <c r="M864" s="115"/>
      <c r="N864" s="115"/>
      <c r="O864" s="115"/>
      <c r="P864" s="115"/>
      <c r="Q864" s="115"/>
      <c r="R864" s="115"/>
      <c r="S864" s="115"/>
      <c r="T864" s="115"/>
      <c r="U864" s="115"/>
      <c r="V864" s="115"/>
      <c r="W864" s="115"/>
      <c r="X864" s="115"/>
      <c r="Y864" s="115"/>
      <c r="Z864" s="115"/>
    </row>
    <row r="865" spans="1:26" ht="15.75" customHeight="1" x14ac:dyDescent="0.25">
      <c r="A865" s="115"/>
      <c r="B865" s="115"/>
      <c r="C865" s="115"/>
      <c r="D865" s="115"/>
      <c r="E865" s="115"/>
      <c r="F865" s="115"/>
      <c r="G865" s="115"/>
      <c r="H865" s="115"/>
      <c r="I865" s="115"/>
      <c r="J865" s="115"/>
      <c r="K865" s="115"/>
      <c r="L865" s="115"/>
      <c r="M865" s="115"/>
      <c r="N865" s="115"/>
      <c r="O865" s="115"/>
      <c r="P865" s="115"/>
      <c r="Q865" s="115"/>
      <c r="R865" s="115"/>
      <c r="S865" s="115"/>
      <c r="T865" s="115"/>
      <c r="U865" s="115"/>
      <c r="V865" s="115"/>
      <c r="W865" s="115"/>
      <c r="X865" s="115"/>
      <c r="Y865" s="115"/>
      <c r="Z865" s="115"/>
    </row>
    <row r="866" spans="1:26" ht="15.75" customHeight="1" x14ac:dyDescent="0.25">
      <c r="A866" s="115"/>
      <c r="B866" s="115"/>
      <c r="C866" s="115"/>
      <c r="D866" s="115"/>
      <c r="E866" s="115"/>
      <c r="F866" s="115"/>
      <c r="G866" s="115"/>
      <c r="H866" s="115"/>
      <c r="I866" s="115"/>
      <c r="J866" s="115"/>
      <c r="K866" s="115"/>
      <c r="L866" s="115"/>
      <c r="M866" s="115"/>
      <c r="N866" s="115"/>
      <c r="O866" s="115"/>
      <c r="P866" s="115"/>
      <c r="Q866" s="115"/>
      <c r="R866" s="115"/>
      <c r="S866" s="115"/>
      <c r="T866" s="115"/>
      <c r="U866" s="115"/>
      <c r="V866" s="115"/>
      <c r="W866" s="115"/>
      <c r="X866" s="115"/>
      <c r="Y866" s="115"/>
      <c r="Z866" s="115"/>
    </row>
    <row r="867" spans="1:26" ht="15.75" customHeight="1" x14ac:dyDescent="0.25">
      <c r="A867" s="115"/>
      <c r="B867" s="115"/>
      <c r="C867" s="115"/>
      <c r="D867" s="115"/>
      <c r="E867" s="115"/>
      <c r="F867" s="115"/>
      <c r="G867" s="115"/>
      <c r="H867" s="115"/>
      <c r="I867" s="115"/>
      <c r="J867" s="115"/>
      <c r="K867" s="115"/>
      <c r="L867" s="115"/>
      <c r="M867" s="115"/>
      <c r="N867" s="115"/>
      <c r="O867" s="115"/>
      <c r="P867" s="115"/>
      <c r="Q867" s="115"/>
      <c r="R867" s="115"/>
      <c r="S867" s="115"/>
      <c r="T867" s="115"/>
      <c r="U867" s="115"/>
      <c r="V867" s="115"/>
      <c r="W867" s="115"/>
      <c r="X867" s="115"/>
      <c r="Y867" s="115"/>
      <c r="Z867" s="115"/>
    </row>
    <row r="868" spans="1:26" ht="15.75" customHeight="1" x14ac:dyDescent="0.25">
      <c r="A868" s="115"/>
      <c r="B868" s="115"/>
      <c r="C868" s="115"/>
      <c r="D868" s="115"/>
      <c r="E868" s="115"/>
      <c r="F868" s="115"/>
      <c r="G868" s="115"/>
      <c r="H868" s="115"/>
      <c r="I868" s="115"/>
      <c r="J868" s="115"/>
      <c r="K868" s="115"/>
      <c r="L868" s="115"/>
      <c r="M868" s="115"/>
      <c r="N868" s="115"/>
      <c r="O868" s="115"/>
      <c r="P868" s="115"/>
      <c r="Q868" s="115"/>
      <c r="R868" s="115"/>
      <c r="S868" s="115"/>
      <c r="T868" s="115"/>
      <c r="U868" s="115"/>
      <c r="V868" s="115"/>
      <c r="W868" s="115"/>
      <c r="X868" s="115"/>
      <c r="Y868" s="115"/>
      <c r="Z868" s="115"/>
    </row>
    <row r="869" spans="1:26" ht="15.75" customHeight="1" x14ac:dyDescent="0.25">
      <c r="A869" s="115"/>
      <c r="B869" s="115"/>
      <c r="C869" s="115"/>
      <c r="D869" s="115"/>
      <c r="E869" s="115"/>
      <c r="F869" s="115"/>
      <c r="G869" s="115"/>
      <c r="H869" s="115"/>
      <c r="I869" s="115"/>
      <c r="J869" s="115"/>
      <c r="K869" s="115"/>
      <c r="L869" s="115"/>
      <c r="M869" s="115"/>
      <c r="N869" s="115"/>
      <c r="O869" s="115"/>
      <c r="P869" s="115"/>
      <c r="Q869" s="115"/>
      <c r="R869" s="115"/>
      <c r="S869" s="115"/>
      <c r="T869" s="115"/>
      <c r="U869" s="115"/>
      <c r="V869" s="115"/>
      <c r="W869" s="115"/>
      <c r="X869" s="115"/>
      <c r="Y869" s="115"/>
      <c r="Z869" s="115"/>
    </row>
    <row r="870" spans="1:26" ht="15.75" customHeight="1" x14ac:dyDescent="0.25">
      <c r="A870" s="115"/>
      <c r="B870" s="115"/>
      <c r="C870" s="115"/>
      <c r="D870" s="115"/>
      <c r="E870" s="115"/>
      <c r="F870" s="115"/>
      <c r="G870" s="115"/>
      <c r="H870" s="115"/>
      <c r="I870" s="115"/>
      <c r="J870" s="115"/>
      <c r="K870" s="115"/>
      <c r="L870" s="115"/>
      <c r="M870" s="115"/>
      <c r="N870" s="115"/>
      <c r="O870" s="115"/>
      <c r="P870" s="115"/>
      <c r="Q870" s="115"/>
      <c r="R870" s="115"/>
      <c r="S870" s="115"/>
      <c r="T870" s="115"/>
      <c r="U870" s="115"/>
      <c r="V870" s="115"/>
      <c r="W870" s="115"/>
      <c r="X870" s="115"/>
      <c r="Y870" s="115"/>
      <c r="Z870" s="115"/>
    </row>
    <row r="871" spans="1:26" ht="15.75" customHeight="1" x14ac:dyDescent="0.25">
      <c r="A871" s="115"/>
      <c r="B871" s="115"/>
      <c r="C871" s="115"/>
      <c r="D871" s="115"/>
      <c r="E871" s="115"/>
      <c r="F871" s="115"/>
      <c r="G871" s="115"/>
      <c r="H871" s="115"/>
      <c r="I871" s="115"/>
      <c r="J871" s="115"/>
      <c r="K871" s="115"/>
      <c r="L871" s="115"/>
      <c r="M871" s="115"/>
      <c r="N871" s="115"/>
      <c r="O871" s="115"/>
      <c r="P871" s="115"/>
      <c r="Q871" s="115"/>
      <c r="R871" s="115"/>
      <c r="S871" s="115"/>
      <c r="T871" s="115"/>
      <c r="U871" s="115"/>
      <c r="V871" s="115"/>
      <c r="W871" s="115"/>
      <c r="X871" s="115"/>
      <c r="Y871" s="115"/>
      <c r="Z871" s="115"/>
    </row>
    <row r="872" spans="1:26" ht="15.75" customHeight="1" x14ac:dyDescent="0.25">
      <c r="A872" s="115"/>
      <c r="B872" s="115"/>
      <c r="C872" s="115"/>
      <c r="D872" s="115"/>
      <c r="E872" s="115"/>
      <c r="F872" s="115"/>
      <c r="G872" s="115"/>
      <c r="H872" s="115"/>
      <c r="I872" s="115"/>
      <c r="J872" s="115"/>
      <c r="K872" s="115"/>
      <c r="L872" s="115"/>
      <c r="M872" s="115"/>
      <c r="N872" s="115"/>
      <c r="O872" s="115"/>
      <c r="P872" s="115"/>
      <c r="Q872" s="115"/>
      <c r="R872" s="115"/>
      <c r="S872" s="115"/>
      <c r="T872" s="115"/>
      <c r="U872" s="115"/>
      <c r="V872" s="115"/>
      <c r="W872" s="115"/>
      <c r="X872" s="115"/>
      <c r="Y872" s="115"/>
      <c r="Z872" s="115"/>
    </row>
    <row r="873" spans="1:26" ht="15.75" customHeight="1" x14ac:dyDescent="0.25">
      <c r="A873" s="115"/>
      <c r="B873" s="115"/>
      <c r="C873" s="115"/>
      <c r="D873" s="115"/>
      <c r="E873" s="115"/>
      <c r="F873" s="115"/>
      <c r="G873" s="115"/>
      <c r="H873" s="115"/>
      <c r="I873" s="115"/>
      <c r="J873" s="115"/>
      <c r="K873" s="115"/>
      <c r="L873" s="115"/>
      <c r="M873" s="115"/>
      <c r="N873" s="115"/>
      <c r="O873" s="115"/>
      <c r="P873" s="115"/>
      <c r="Q873" s="115"/>
      <c r="R873" s="115"/>
      <c r="S873" s="115"/>
      <c r="T873" s="115"/>
      <c r="U873" s="115"/>
      <c r="V873" s="115"/>
      <c r="W873" s="115"/>
      <c r="X873" s="115"/>
      <c r="Y873" s="115"/>
      <c r="Z873" s="115"/>
    </row>
    <row r="874" spans="1:26" ht="15.75" customHeight="1" x14ac:dyDescent="0.25">
      <c r="A874" s="115"/>
      <c r="B874" s="115"/>
      <c r="C874" s="115"/>
      <c r="D874" s="115"/>
      <c r="E874" s="115"/>
      <c r="F874" s="115"/>
      <c r="G874" s="115"/>
      <c r="H874" s="115"/>
      <c r="I874" s="115"/>
      <c r="J874" s="115"/>
      <c r="K874" s="115"/>
      <c r="L874" s="115"/>
      <c r="M874" s="115"/>
      <c r="N874" s="115"/>
      <c r="O874" s="115"/>
      <c r="P874" s="115"/>
      <c r="Q874" s="115"/>
      <c r="R874" s="115"/>
      <c r="S874" s="115"/>
      <c r="T874" s="115"/>
      <c r="U874" s="115"/>
      <c r="V874" s="115"/>
      <c r="W874" s="115"/>
      <c r="X874" s="115"/>
      <c r="Y874" s="115"/>
      <c r="Z874" s="115"/>
    </row>
    <row r="875" spans="1:26" ht="15.75" customHeight="1" x14ac:dyDescent="0.25">
      <c r="A875" s="115"/>
      <c r="B875" s="115"/>
      <c r="C875" s="115"/>
      <c r="D875" s="115"/>
      <c r="E875" s="115"/>
      <c r="F875" s="115"/>
      <c r="G875" s="115"/>
      <c r="H875" s="115"/>
      <c r="I875" s="115"/>
      <c r="J875" s="115"/>
      <c r="K875" s="115"/>
      <c r="L875" s="115"/>
      <c r="M875" s="115"/>
      <c r="N875" s="115"/>
      <c r="O875" s="115"/>
      <c r="P875" s="115"/>
      <c r="Q875" s="115"/>
      <c r="R875" s="115"/>
      <c r="S875" s="115"/>
      <c r="T875" s="115"/>
      <c r="U875" s="115"/>
      <c r="V875" s="115"/>
      <c r="W875" s="115"/>
      <c r="X875" s="115"/>
      <c r="Y875" s="115"/>
      <c r="Z875" s="115"/>
    </row>
    <row r="876" spans="1:26" ht="15.75" customHeight="1" x14ac:dyDescent="0.25">
      <c r="A876" s="115"/>
      <c r="B876" s="115"/>
      <c r="C876" s="115"/>
      <c r="D876" s="115"/>
      <c r="E876" s="115"/>
      <c r="F876" s="115"/>
      <c r="G876" s="115"/>
      <c r="H876" s="115"/>
      <c r="I876" s="115"/>
      <c r="J876" s="115"/>
      <c r="K876" s="115"/>
      <c r="L876" s="115"/>
      <c r="M876" s="115"/>
      <c r="N876" s="115"/>
      <c r="O876" s="115"/>
      <c r="P876" s="115"/>
      <c r="Q876" s="115"/>
      <c r="R876" s="115"/>
      <c r="S876" s="115"/>
      <c r="T876" s="115"/>
      <c r="U876" s="115"/>
      <c r="V876" s="115"/>
      <c r="W876" s="115"/>
      <c r="X876" s="115"/>
      <c r="Y876" s="115"/>
      <c r="Z876" s="115"/>
    </row>
    <row r="877" spans="1:26" ht="15.75" customHeight="1" x14ac:dyDescent="0.25">
      <c r="A877" s="115"/>
      <c r="B877" s="115"/>
      <c r="C877" s="115"/>
      <c r="D877" s="115"/>
      <c r="E877" s="115"/>
      <c r="F877" s="115"/>
      <c r="G877" s="115"/>
      <c r="H877" s="115"/>
      <c r="I877" s="115"/>
      <c r="J877" s="115"/>
      <c r="K877" s="115"/>
      <c r="L877" s="115"/>
      <c r="M877" s="115"/>
      <c r="N877" s="115"/>
      <c r="O877" s="115"/>
      <c r="P877" s="115"/>
      <c r="Q877" s="115"/>
      <c r="R877" s="115"/>
      <c r="S877" s="115"/>
      <c r="T877" s="115"/>
      <c r="U877" s="115"/>
      <c r="V877" s="115"/>
      <c r="W877" s="115"/>
      <c r="X877" s="115"/>
      <c r="Y877" s="115"/>
      <c r="Z877" s="115"/>
    </row>
    <row r="878" spans="1:26" ht="15.75" customHeight="1" x14ac:dyDescent="0.25">
      <c r="A878" s="115"/>
      <c r="B878" s="115"/>
      <c r="C878" s="115"/>
      <c r="D878" s="115"/>
      <c r="E878" s="115"/>
      <c r="F878" s="115"/>
      <c r="G878" s="115"/>
      <c r="H878" s="115"/>
      <c r="I878" s="115"/>
      <c r="J878" s="115"/>
      <c r="K878" s="115"/>
      <c r="L878" s="115"/>
      <c r="M878" s="115"/>
      <c r="N878" s="115"/>
      <c r="O878" s="115"/>
      <c r="P878" s="115"/>
      <c r="Q878" s="115"/>
      <c r="R878" s="115"/>
      <c r="S878" s="115"/>
      <c r="T878" s="115"/>
      <c r="U878" s="115"/>
      <c r="V878" s="115"/>
      <c r="W878" s="115"/>
      <c r="X878" s="115"/>
      <c r="Y878" s="115"/>
      <c r="Z878" s="115"/>
    </row>
    <row r="879" spans="1:26" ht="15.75" customHeight="1" x14ac:dyDescent="0.25">
      <c r="A879" s="115"/>
      <c r="B879" s="115"/>
      <c r="C879" s="115"/>
      <c r="D879" s="115"/>
      <c r="E879" s="115"/>
      <c r="F879" s="115"/>
      <c r="G879" s="115"/>
      <c r="H879" s="115"/>
      <c r="I879" s="115"/>
      <c r="J879" s="115"/>
      <c r="K879" s="115"/>
      <c r="L879" s="115"/>
      <c r="M879" s="115"/>
      <c r="N879" s="115"/>
      <c r="O879" s="115"/>
      <c r="P879" s="115"/>
      <c r="Q879" s="115"/>
      <c r="R879" s="115"/>
      <c r="S879" s="115"/>
      <c r="T879" s="115"/>
      <c r="U879" s="115"/>
      <c r="V879" s="115"/>
      <c r="W879" s="115"/>
      <c r="X879" s="115"/>
      <c r="Y879" s="115"/>
      <c r="Z879" s="115"/>
    </row>
    <row r="880" spans="1:26" ht="15.75" customHeight="1" x14ac:dyDescent="0.25">
      <c r="A880" s="115"/>
      <c r="B880" s="115"/>
      <c r="C880" s="115"/>
      <c r="D880" s="115"/>
      <c r="E880" s="115"/>
      <c r="F880" s="115"/>
      <c r="G880" s="115"/>
      <c r="H880" s="115"/>
      <c r="I880" s="115"/>
      <c r="J880" s="115"/>
      <c r="K880" s="115"/>
      <c r="L880" s="115"/>
      <c r="M880" s="115"/>
      <c r="N880" s="115"/>
      <c r="O880" s="115"/>
      <c r="P880" s="115"/>
      <c r="Q880" s="115"/>
      <c r="R880" s="115"/>
      <c r="S880" s="115"/>
      <c r="T880" s="115"/>
      <c r="U880" s="115"/>
      <c r="V880" s="115"/>
      <c r="W880" s="115"/>
      <c r="X880" s="115"/>
      <c r="Y880" s="115"/>
      <c r="Z880" s="115"/>
    </row>
    <row r="881" spans="1:26" ht="15.75" customHeight="1" x14ac:dyDescent="0.25">
      <c r="A881" s="115"/>
      <c r="B881" s="115"/>
      <c r="C881" s="115"/>
      <c r="D881" s="115"/>
      <c r="E881" s="115"/>
      <c r="F881" s="115"/>
      <c r="G881" s="115"/>
      <c r="H881" s="115"/>
      <c r="I881" s="115"/>
      <c r="J881" s="115"/>
      <c r="K881" s="115"/>
      <c r="L881" s="115"/>
      <c r="M881" s="115"/>
      <c r="N881" s="115"/>
      <c r="O881" s="115"/>
      <c r="P881" s="115"/>
      <c r="Q881" s="115"/>
      <c r="R881" s="115"/>
      <c r="S881" s="115"/>
      <c r="T881" s="115"/>
      <c r="U881" s="115"/>
      <c r="V881" s="115"/>
      <c r="W881" s="115"/>
      <c r="X881" s="115"/>
      <c r="Y881" s="115"/>
      <c r="Z881" s="115"/>
    </row>
    <row r="882" spans="1:26" ht="15.75" customHeight="1" x14ac:dyDescent="0.25">
      <c r="A882" s="115"/>
      <c r="B882" s="115"/>
      <c r="C882" s="115"/>
      <c r="D882" s="115"/>
      <c r="E882" s="115"/>
      <c r="F882" s="115"/>
      <c r="G882" s="115"/>
      <c r="H882" s="115"/>
      <c r="I882" s="115"/>
      <c r="J882" s="115"/>
      <c r="K882" s="115"/>
      <c r="L882" s="115"/>
      <c r="M882" s="115"/>
      <c r="N882" s="115"/>
      <c r="O882" s="115"/>
      <c r="P882" s="115"/>
      <c r="Q882" s="115"/>
      <c r="R882" s="115"/>
      <c r="S882" s="115"/>
      <c r="T882" s="115"/>
      <c r="U882" s="115"/>
      <c r="V882" s="115"/>
      <c r="W882" s="115"/>
      <c r="X882" s="115"/>
      <c r="Y882" s="115"/>
      <c r="Z882" s="115"/>
    </row>
    <row r="883" spans="1:26" ht="15.75" customHeight="1" x14ac:dyDescent="0.25">
      <c r="A883" s="115"/>
      <c r="B883" s="115"/>
      <c r="C883" s="115"/>
      <c r="D883" s="115"/>
      <c r="E883" s="115"/>
      <c r="F883" s="115"/>
      <c r="G883" s="115"/>
      <c r="H883" s="115"/>
      <c r="I883" s="115"/>
      <c r="J883" s="115"/>
      <c r="K883" s="115"/>
      <c r="L883" s="115"/>
      <c r="M883" s="115"/>
      <c r="N883" s="115"/>
      <c r="O883" s="115"/>
      <c r="P883" s="115"/>
      <c r="Q883" s="115"/>
      <c r="R883" s="115"/>
      <c r="S883" s="115"/>
      <c r="T883" s="115"/>
      <c r="U883" s="115"/>
      <c r="V883" s="115"/>
      <c r="W883" s="115"/>
      <c r="X883" s="115"/>
      <c r="Y883" s="115"/>
      <c r="Z883" s="115"/>
    </row>
    <row r="884" spans="1:26" ht="15.75" customHeight="1" x14ac:dyDescent="0.25">
      <c r="A884" s="115"/>
      <c r="B884" s="115"/>
      <c r="C884" s="115"/>
      <c r="D884" s="115"/>
      <c r="E884" s="115"/>
      <c r="F884" s="115"/>
      <c r="G884" s="115"/>
      <c r="H884" s="115"/>
      <c r="I884" s="115"/>
      <c r="J884" s="115"/>
      <c r="K884" s="115"/>
      <c r="L884" s="115"/>
      <c r="M884" s="115"/>
      <c r="N884" s="115"/>
      <c r="O884" s="115"/>
      <c r="P884" s="115"/>
      <c r="Q884" s="115"/>
      <c r="R884" s="115"/>
      <c r="S884" s="115"/>
      <c r="T884" s="115"/>
      <c r="U884" s="115"/>
      <c r="V884" s="115"/>
      <c r="W884" s="115"/>
      <c r="X884" s="115"/>
      <c r="Y884" s="115"/>
      <c r="Z884" s="115"/>
    </row>
    <row r="885" spans="1:26" ht="15.75" customHeight="1" x14ac:dyDescent="0.25">
      <c r="A885" s="115"/>
      <c r="B885" s="115"/>
      <c r="C885" s="115"/>
      <c r="D885" s="115"/>
      <c r="E885" s="115"/>
      <c r="F885" s="115"/>
      <c r="G885" s="115"/>
      <c r="H885" s="115"/>
      <c r="I885" s="115"/>
      <c r="J885" s="115"/>
      <c r="K885" s="115"/>
      <c r="L885" s="115"/>
      <c r="M885" s="115"/>
      <c r="N885" s="115"/>
      <c r="O885" s="115"/>
      <c r="P885" s="115"/>
      <c r="Q885" s="115"/>
      <c r="R885" s="115"/>
      <c r="S885" s="115"/>
      <c r="T885" s="115"/>
      <c r="U885" s="115"/>
      <c r="V885" s="115"/>
      <c r="W885" s="115"/>
      <c r="X885" s="115"/>
      <c r="Y885" s="115"/>
      <c r="Z885" s="115"/>
    </row>
    <row r="886" spans="1:26" ht="15.75" customHeight="1" x14ac:dyDescent="0.25">
      <c r="A886" s="115"/>
      <c r="B886" s="115"/>
      <c r="C886" s="115"/>
      <c r="D886" s="115"/>
      <c r="E886" s="115"/>
      <c r="F886" s="115"/>
      <c r="G886" s="115"/>
      <c r="H886" s="115"/>
      <c r="I886" s="115"/>
      <c r="J886" s="115"/>
      <c r="K886" s="115"/>
      <c r="L886" s="115"/>
      <c r="M886" s="115"/>
      <c r="N886" s="115"/>
      <c r="O886" s="115"/>
      <c r="P886" s="115"/>
      <c r="Q886" s="115"/>
      <c r="R886" s="115"/>
      <c r="S886" s="115"/>
      <c r="T886" s="115"/>
      <c r="U886" s="115"/>
      <c r="V886" s="115"/>
      <c r="W886" s="115"/>
      <c r="X886" s="115"/>
      <c r="Y886" s="115"/>
      <c r="Z886" s="115"/>
    </row>
    <row r="887" spans="1:26" ht="15.75" customHeight="1" x14ac:dyDescent="0.25">
      <c r="A887" s="115"/>
      <c r="B887" s="115"/>
      <c r="C887" s="115"/>
      <c r="D887" s="115"/>
      <c r="E887" s="115"/>
      <c r="F887" s="115"/>
      <c r="G887" s="115"/>
      <c r="H887" s="115"/>
      <c r="I887" s="115"/>
      <c r="J887" s="115"/>
      <c r="K887" s="115"/>
      <c r="L887" s="115"/>
      <c r="M887" s="115"/>
      <c r="N887" s="115"/>
      <c r="O887" s="115"/>
      <c r="P887" s="115"/>
      <c r="Q887" s="115"/>
      <c r="R887" s="115"/>
      <c r="S887" s="115"/>
      <c r="T887" s="115"/>
      <c r="U887" s="115"/>
      <c r="V887" s="115"/>
      <c r="W887" s="115"/>
      <c r="X887" s="115"/>
      <c r="Y887" s="115"/>
      <c r="Z887" s="115"/>
    </row>
    <row r="888" spans="1:26" ht="15.75" customHeight="1" x14ac:dyDescent="0.25">
      <c r="A888" s="115"/>
      <c r="B888" s="115"/>
      <c r="C888" s="115"/>
      <c r="D888" s="115"/>
      <c r="E888" s="115"/>
      <c r="F888" s="115"/>
      <c r="G888" s="115"/>
      <c r="H888" s="115"/>
      <c r="I888" s="115"/>
      <c r="J888" s="115"/>
      <c r="K888" s="115"/>
      <c r="L888" s="115"/>
      <c r="M888" s="115"/>
      <c r="N888" s="115"/>
      <c r="O888" s="115"/>
      <c r="P888" s="115"/>
      <c r="Q888" s="115"/>
      <c r="R888" s="115"/>
      <c r="S888" s="115"/>
      <c r="T888" s="115"/>
      <c r="U888" s="115"/>
      <c r="V888" s="115"/>
      <c r="W888" s="115"/>
      <c r="X888" s="115"/>
      <c r="Y888" s="115"/>
      <c r="Z888" s="115"/>
    </row>
    <row r="889" spans="1:26" ht="15.75" customHeight="1" x14ac:dyDescent="0.25">
      <c r="A889" s="115"/>
      <c r="B889" s="115"/>
      <c r="C889" s="115"/>
      <c r="D889" s="115"/>
      <c r="E889" s="115"/>
      <c r="F889" s="115"/>
      <c r="G889" s="115"/>
      <c r="H889" s="115"/>
      <c r="I889" s="115"/>
      <c r="J889" s="115"/>
      <c r="K889" s="115"/>
      <c r="L889" s="115"/>
      <c r="M889" s="115"/>
      <c r="N889" s="115"/>
      <c r="O889" s="115"/>
      <c r="P889" s="115"/>
      <c r="Q889" s="115"/>
      <c r="R889" s="115"/>
      <c r="S889" s="115"/>
      <c r="T889" s="115"/>
      <c r="U889" s="115"/>
      <c r="V889" s="115"/>
      <c r="W889" s="115"/>
      <c r="X889" s="115"/>
      <c r="Y889" s="115"/>
      <c r="Z889" s="115"/>
    </row>
    <row r="890" spans="1:26" ht="15.75" customHeight="1" x14ac:dyDescent="0.25">
      <c r="A890" s="115"/>
      <c r="B890" s="115"/>
      <c r="C890" s="115"/>
      <c r="D890" s="115"/>
      <c r="E890" s="115"/>
      <c r="F890" s="115"/>
      <c r="G890" s="115"/>
      <c r="H890" s="115"/>
      <c r="I890" s="115"/>
      <c r="J890" s="115"/>
      <c r="K890" s="115"/>
      <c r="L890" s="115"/>
      <c r="M890" s="115"/>
      <c r="N890" s="115"/>
      <c r="O890" s="115"/>
      <c r="P890" s="115"/>
      <c r="Q890" s="115"/>
      <c r="R890" s="115"/>
      <c r="S890" s="115"/>
      <c r="T890" s="115"/>
      <c r="U890" s="115"/>
      <c r="V890" s="115"/>
      <c r="W890" s="115"/>
      <c r="X890" s="115"/>
      <c r="Y890" s="115"/>
      <c r="Z890" s="115"/>
    </row>
    <row r="891" spans="1:26" ht="15.75" customHeight="1" x14ac:dyDescent="0.25">
      <c r="A891" s="115"/>
      <c r="B891" s="115"/>
      <c r="C891" s="115"/>
      <c r="D891" s="115"/>
      <c r="E891" s="115"/>
      <c r="F891" s="115"/>
      <c r="G891" s="115"/>
      <c r="H891" s="115"/>
      <c r="I891" s="115"/>
      <c r="J891" s="115"/>
      <c r="K891" s="115"/>
      <c r="L891" s="115"/>
      <c r="M891" s="115"/>
      <c r="N891" s="115"/>
      <c r="O891" s="115"/>
      <c r="P891" s="115"/>
      <c r="Q891" s="115"/>
      <c r="R891" s="115"/>
      <c r="S891" s="115"/>
      <c r="T891" s="115"/>
      <c r="U891" s="115"/>
      <c r="V891" s="115"/>
      <c r="W891" s="115"/>
      <c r="X891" s="115"/>
      <c r="Y891" s="115"/>
      <c r="Z891" s="115"/>
    </row>
    <row r="892" spans="1:26" ht="15.75" customHeight="1" x14ac:dyDescent="0.25">
      <c r="A892" s="115"/>
      <c r="B892" s="115"/>
      <c r="C892" s="115"/>
      <c r="D892" s="115"/>
      <c r="E892" s="115"/>
      <c r="F892" s="115"/>
      <c r="G892" s="115"/>
      <c r="H892" s="115"/>
      <c r="I892" s="115"/>
      <c r="J892" s="115"/>
      <c r="K892" s="115"/>
      <c r="L892" s="115"/>
      <c r="M892" s="115"/>
      <c r="N892" s="115"/>
      <c r="O892" s="115"/>
      <c r="P892" s="115"/>
      <c r="Q892" s="115"/>
      <c r="R892" s="115"/>
      <c r="S892" s="115"/>
      <c r="T892" s="115"/>
      <c r="U892" s="115"/>
      <c r="V892" s="115"/>
      <c r="W892" s="115"/>
      <c r="X892" s="115"/>
      <c r="Y892" s="115"/>
      <c r="Z892" s="115"/>
    </row>
    <row r="893" spans="1:26" ht="15.75" customHeight="1" x14ac:dyDescent="0.25">
      <c r="A893" s="115"/>
      <c r="B893" s="115"/>
      <c r="C893" s="115"/>
      <c r="D893" s="115"/>
      <c r="E893" s="115"/>
      <c r="F893" s="115"/>
      <c r="G893" s="115"/>
      <c r="H893" s="115"/>
      <c r="I893" s="115"/>
      <c r="J893" s="115"/>
      <c r="K893" s="115"/>
      <c r="L893" s="115"/>
      <c r="M893" s="115"/>
      <c r="N893" s="115"/>
      <c r="O893" s="115"/>
      <c r="P893" s="115"/>
      <c r="Q893" s="115"/>
      <c r="R893" s="115"/>
      <c r="S893" s="115"/>
      <c r="T893" s="115"/>
      <c r="U893" s="115"/>
      <c r="V893" s="115"/>
      <c r="W893" s="115"/>
      <c r="X893" s="115"/>
      <c r="Y893" s="115"/>
      <c r="Z893" s="115"/>
    </row>
    <row r="894" spans="1:26" ht="15.75" customHeight="1" x14ac:dyDescent="0.25">
      <c r="A894" s="115"/>
      <c r="B894" s="115"/>
      <c r="C894" s="115"/>
      <c r="D894" s="115"/>
      <c r="E894" s="115"/>
      <c r="F894" s="115"/>
      <c r="G894" s="115"/>
      <c r="H894" s="115"/>
      <c r="I894" s="115"/>
      <c r="J894" s="115"/>
      <c r="K894" s="115"/>
      <c r="L894" s="115"/>
      <c r="M894" s="115"/>
      <c r="N894" s="115"/>
      <c r="O894" s="115"/>
      <c r="P894" s="115"/>
      <c r="Q894" s="115"/>
      <c r="R894" s="115"/>
      <c r="S894" s="115"/>
      <c r="T894" s="115"/>
      <c r="U894" s="115"/>
      <c r="V894" s="115"/>
      <c r="W894" s="115"/>
      <c r="X894" s="115"/>
      <c r="Y894" s="115"/>
      <c r="Z894" s="115"/>
    </row>
    <row r="895" spans="1:26" ht="15.75" customHeight="1" x14ac:dyDescent="0.25">
      <c r="A895" s="115"/>
      <c r="B895" s="115"/>
      <c r="C895" s="115"/>
      <c r="D895" s="115"/>
      <c r="E895" s="115"/>
      <c r="F895" s="115"/>
      <c r="G895" s="115"/>
      <c r="H895" s="115"/>
      <c r="I895" s="115"/>
      <c r="J895" s="115"/>
      <c r="K895" s="115"/>
      <c r="L895" s="115"/>
      <c r="M895" s="115"/>
      <c r="N895" s="115"/>
      <c r="O895" s="115"/>
      <c r="P895" s="115"/>
      <c r="Q895" s="115"/>
      <c r="R895" s="115"/>
      <c r="S895" s="115"/>
      <c r="T895" s="115"/>
      <c r="U895" s="115"/>
      <c r="V895" s="115"/>
      <c r="W895" s="115"/>
      <c r="X895" s="115"/>
      <c r="Y895" s="115"/>
      <c r="Z895" s="115"/>
    </row>
    <row r="896" spans="1:26" ht="15.75" customHeight="1" x14ac:dyDescent="0.25">
      <c r="A896" s="115"/>
      <c r="B896" s="115"/>
      <c r="C896" s="115"/>
      <c r="D896" s="115"/>
      <c r="E896" s="115"/>
      <c r="F896" s="115"/>
      <c r="G896" s="115"/>
      <c r="H896" s="115"/>
      <c r="I896" s="115"/>
      <c r="J896" s="115"/>
      <c r="K896" s="115"/>
      <c r="L896" s="115"/>
      <c r="M896" s="115"/>
      <c r="N896" s="115"/>
      <c r="O896" s="115"/>
      <c r="P896" s="115"/>
      <c r="Q896" s="115"/>
      <c r="R896" s="115"/>
      <c r="S896" s="115"/>
      <c r="T896" s="115"/>
      <c r="U896" s="115"/>
      <c r="V896" s="115"/>
      <c r="W896" s="115"/>
      <c r="X896" s="115"/>
      <c r="Y896" s="115"/>
      <c r="Z896" s="115"/>
    </row>
    <row r="897" spans="1:26" ht="15.75" customHeight="1" x14ac:dyDescent="0.25">
      <c r="A897" s="115"/>
      <c r="B897" s="115"/>
      <c r="C897" s="115"/>
      <c r="D897" s="115"/>
      <c r="E897" s="115"/>
      <c r="F897" s="115"/>
      <c r="G897" s="115"/>
      <c r="H897" s="115"/>
      <c r="I897" s="115"/>
      <c r="J897" s="115"/>
      <c r="K897" s="115"/>
      <c r="L897" s="115"/>
      <c r="M897" s="115"/>
      <c r="N897" s="115"/>
      <c r="O897" s="115"/>
      <c r="P897" s="115"/>
      <c r="Q897" s="115"/>
      <c r="R897" s="115"/>
      <c r="S897" s="115"/>
      <c r="T897" s="115"/>
      <c r="U897" s="115"/>
      <c r="V897" s="115"/>
      <c r="W897" s="115"/>
      <c r="X897" s="115"/>
      <c r="Y897" s="115"/>
      <c r="Z897" s="115"/>
    </row>
    <row r="898" spans="1:26" ht="15.75" customHeight="1" x14ac:dyDescent="0.25">
      <c r="A898" s="115"/>
      <c r="B898" s="115"/>
      <c r="C898" s="115"/>
      <c r="D898" s="115"/>
      <c r="E898" s="115"/>
      <c r="F898" s="115"/>
      <c r="G898" s="115"/>
      <c r="H898" s="115"/>
      <c r="I898" s="115"/>
      <c r="J898" s="115"/>
      <c r="K898" s="115"/>
      <c r="L898" s="115"/>
      <c r="M898" s="115"/>
      <c r="N898" s="115"/>
      <c r="O898" s="115"/>
      <c r="P898" s="115"/>
      <c r="Q898" s="115"/>
      <c r="R898" s="115"/>
      <c r="S898" s="115"/>
      <c r="T898" s="115"/>
      <c r="U898" s="115"/>
      <c r="V898" s="115"/>
      <c r="W898" s="115"/>
      <c r="X898" s="115"/>
      <c r="Y898" s="115"/>
      <c r="Z898" s="115"/>
    </row>
    <row r="899" spans="1:26" ht="15.75" customHeight="1" x14ac:dyDescent="0.25">
      <c r="A899" s="115"/>
      <c r="B899" s="115"/>
      <c r="C899" s="115"/>
      <c r="D899" s="115"/>
      <c r="E899" s="115"/>
      <c r="F899" s="115"/>
      <c r="G899" s="115"/>
      <c r="H899" s="115"/>
      <c r="I899" s="115"/>
      <c r="J899" s="115"/>
      <c r="K899" s="115"/>
      <c r="L899" s="115"/>
      <c r="M899" s="115"/>
      <c r="N899" s="115"/>
      <c r="O899" s="115"/>
      <c r="P899" s="115"/>
      <c r="Q899" s="115"/>
      <c r="R899" s="115"/>
      <c r="S899" s="115"/>
      <c r="T899" s="115"/>
      <c r="U899" s="115"/>
      <c r="V899" s="115"/>
      <c r="W899" s="115"/>
      <c r="X899" s="115"/>
      <c r="Y899" s="115"/>
      <c r="Z899" s="115"/>
    </row>
    <row r="900" spans="1:26" ht="15.75" customHeight="1" x14ac:dyDescent="0.25">
      <c r="A900" s="115"/>
      <c r="B900" s="115"/>
      <c r="C900" s="115"/>
      <c r="D900" s="115"/>
      <c r="E900" s="115"/>
      <c r="F900" s="115"/>
      <c r="G900" s="115"/>
      <c r="H900" s="115"/>
      <c r="I900" s="115"/>
      <c r="J900" s="115"/>
      <c r="K900" s="115"/>
      <c r="L900" s="115"/>
      <c r="M900" s="115"/>
      <c r="N900" s="115"/>
      <c r="O900" s="115"/>
      <c r="P900" s="115"/>
      <c r="Q900" s="115"/>
      <c r="R900" s="115"/>
      <c r="S900" s="115"/>
      <c r="T900" s="115"/>
      <c r="U900" s="115"/>
      <c r="V900" s="115"/>
      <c r="W900" s="115"/>
      <c r="X900" s="115"/>
      <c r="Y900" s="115"/>
      <c r="Z900" s="115"/>
    </row>
    <row r="901" spans="1:26" ht="15.75" customHeight="1" x14ac:dyDescent="0.25">
      <c r="A901" s="115"/>
      <c r="B901" s="115"/>
      <c r="C901" s="115"/>
      <c r="D901" s="115"/>
      <c r="E901" s="115"/>
      <c r="F901" s="115"/>
      <c r="G901" s="115"/>
      <c r="H901" s="115"/>
      <c r="I901" s="115"/>
      <c r="J901" s="115"/>
      <c r="K901" s="115"/>
      <c r="L901" s="115"/>
      <c r="M901" s="115"/>
      <c r="N901" s="115"/>
      <c r="O901" s="115"/>
      <c r="P901" s="115"/>
      <c r="Q901" s="115"/>
      <c r="R901" s="115"/>
      <c r="S901" s="115"/>
      <c r="T901" s="115"/>
      <c r="U901" s="115"/>
      <c r="V901" s="115"/>
      <c r="W901" s="115"/>
      <c r="X901" s="115"/>
      <c r="Y901" s="115"/>
      <c r="Z901" s="115"/>
    </row>
    <row r="902" spans="1:26" ht="15.75" customHeight="1" x14ac:dyDescent="0.25">
      <c r="A902" s="115"/>
      <c r="B902" s="115"/>
      <c r="C902" s="115"/>
      <c r="D902" s="115"/>
      <c r="E902" s="115"/>
      <c r="F902" s="115"/>
      <c r="G902" s="115"/>
      <c r="H902" s="115"/>
      <c r="I902" s="115"/>
      <c r="J902" s="115"/>
      <c r="K902" s="115"/>
      <c r="L902" s="115"/>
      <c r="M902" s="115"/>
      <c r="N902" s="115"/>
      <c r="O902" s="115"/>
      <c r="P902" s="115"/>
      <c r="Q902" s="115"/>
      <c r="R902" s="115"/>
      <c r="S902" s="115"/>
      <c r="T902" s="115"/>
      <c r="U902" s="115"/>
      <c r="V902" s="115"/>
      <c r="W902" s="115"/>
      <c r="X902" s="115"/>
      <c r="Y902" s="115"/>
      <c r="Z902" s="115"/>
    </row>
    <row r="903" spans="1:26" ht="15.75" customHeight="1" x14ac:dyDescent="0.25">
      <c r="A903" s="115"/>
      <c r="B903" s="115"/>
      <c r="C903" s="115"/>
      <c r="D903" s="115"/>
      <c r="E903" s="115"/>
      <c r="F903" s="115"/>
      <c r="G903" s="115"/>
      <c r="H903" s="115"/>
      <c r="I903" s="115"/>
      <c r="J903" s="115"/>
      <c r="K903" s="115"/>
      <c r="L903" s="115"/>
      <c r="M903" s="115"/>
      <c r="N903" s="115"/>
      <c r="O903" s="115"/>
      <c r="P903" s="115"/>
      <c r="Q903" s="115"/>
      <c r="R903" s="115"/>
      <c r="S903" s="115"/>
      <c r="T903" s="115"/>
      <c r="U903" s="115"/>
      <c r="V903" s="115"/>
      <c r="W903" s="115"/>
      <c r="X903" s="115"/>
      <c r="Y903" s="115"/>
      <c r="Z903" s="115"/>
    </row>
    <row r="904" spans="1:26" ht="15.75" customHeight="1" x14ac:dyDescent="0.25">
      <c r="A904" s="115"/>
      <c r="B904" s="115"/>
      <c r="C904" s="115"/>
      <c r="D904" s="115"/>
      <c r="E904" s="115"/>
      <c r="F904" s="115"/>
      <c r="G904" s="115"/>
      <c r="H904" s="115"/>
      <c r="I904" s="115"/>
      <c r="J904" s="115"/>
      <c r="K904" s="115"/>
      <c r="L904" s="115"/>
      <c r="M904" s="115"/>
      <c r="N904" s="115"/>
      <c r="O904" s="115"/>
      <c r="P904" s="115"/>
      <c r="Q904" s="115"/>
      <c r="R904" s="115"/>
      <c r="S904" s="115"/>
      <c r="T904" s="115"/>
      <c r="U904" s="115"/>
      <c r="V904" s="115"/>
      <c r="W904" s="115"/>
      <c r="X904" s="115"/>
      <c r="Y904" s="115"/>
      <c r="Z904" s="115"/>
    </row>
    <row r="905" spans="1:26" ht="15.75" customHeight="1" x14ac:dyDescent="0.25">
      <c r="A905" s="115"/>
      <c r="B905" s="115"/>
      <c r="C905" s="115"/>
      <c r="D905" s="115"/>
      <c r="E905" s="115"/>
      <c r="F905" s="115"/>
      <c r="G905" s="115"/>
      <c r="H905" s="115"/>
      <c r="I905" s="115"/>
      <c r="J905" s="115"/>
      <c r="K905" s="115"/>
      <c r="L905" s="115"/>
      <c r="M905" s="115"/>
      <c r="N905" s="115"/>
      <c r="O905" s="115"/>
      <c r="P905" s="115"/>
      <c r="Q905" s="115"/>
      <c r="R905" s="115"/>
      <c r="S905" s="115"/>
      <c r="T905" s="115"/>
      <c r="U905" s="115"/>
      <c r="V905" s="115"/>
      <c r="W905" s="115"/>
      <c r="X905" s="115"/>
      <c r="Y905" s="115"/>
      <c r="Z905" s="115"/>
    </row>
    <row r="906" spans="1:26" ht="15.75" customHeight="1" x14ac:dyDescent="0.25">
      <c r="A906" s="115"/>
      <c r="B906" s="115"/>
      <c r="C906" s="115"/>
      <c r="D906" s="115"/>
      <c r="E906" s="115"/>
      <c r="F906" s="115"/>
      <c r="G906" s="115"/>
      <c r="H906" s="115"/>
      <c r="I906" s="115"/>
      <c r="J906" s="115"/>
      <c r="K906" s="115"/>
      <c r="L906" s="115"/>
      <c r="M906" s="115"/>
      <c r="N906" s="115"/>
      <c r="O906" s="115"/>
      <c r="P906" s="115"/>
      <c r="Q906" s="115"/>
      <c r="R906" s="115"/>
      <c r="S906" s="115"/>
      <c r="T906" s="115"/>
      <c r="U906" s="115"/>
      <c r="V906" s="115"/>
      <c r="W906" s="115"/>
      <c r="X906" s="115"/>
      <c r="Y906" s="115"/>
      <c r="Z906" s="115"/>
    </row>
    <row r="907" spans="1:26" ht="15.75" customHeight="1" x14ac:dyDescent="0.25">
      <c r="A907" s="115"/>
      <c r="B907" s="115"/>
      <c r="C907" s="115"/>
      <c r="D907" s="115"/>
      <c r="E907" s="115"/>
      <c r="F907" s="115"/>
      <c r="G907" s="115"/>
      <c r="H907" s="115"/>
      <c r="I907" s="115"/>
      <c r="J907" s="115"/>
      <c r="K907" s="115"/>
      <c r="L907" s="115"/>
      <c r="M907" s="115"/>
      <c r="N907" s="115"/>
      <c r="O907" s="115"/>
      <c r="P907" s="115"/>
      <c r="Q907" s="115"/>
      <c r="R907" s="115"/>
      <c r="S907" s="115"/>
      <c r="T907" s="115"/>
      <c r="U907" s="115"/>
      <c r="V907" s="115"/>
      <c r="W907" s="115"/>
      <c r="X907" s="115"/>
      <c r="Y907" s="115"/>
      <c r="Z907" s="115"/>
    </row>
    <row r="908" spans="1:26" ht="15.75" customHeight="1" x14ac:dyDescent="0.25">
      <c r="A908" s="115"/>
      <c r="B908" s="115"/>
      <c r="C908" s="115"/>
      <c r="D908" s="115"/>
      <c r="E908" s="115"/>
      <c r="F908" s="115"/>
      <c r="G908" s="115"/>
      <c r="H908" s="115"/>
      <c r="I908" s="115"/>
      <c r="J908" s="115"/>
      <c r="K908" s="115"/>
      <c r="L908" s="115"/>
      <c r="M908" s="115"/>
      <c r="N908" s="115"/>
      <c r="O908" s="115"/>
      <c r="P908" s="115"/>
      <c r="Q908" s="115"/>
      <c r="R908" s="115"/>
      <c r="S908" s="115"/>
      <c r="T908" s="115"/>
      <c r="U908" s="115"/>
      <c r="V908" s="115"/>
      <c r="W908" s="115"/>
      <c r="X908" s="115"/>
      <c r="Y908" s="115"/>
      <c r="Z908" s="115"/>
    </row>
    <row r="909" spans="1:26" ht="15.75" customHeight="1" x14ac:dyDescent="0.25">
      <c r="A909" s="115"/>
      <c r="B909" s="115"/>
      <c r="C909" s="115"/>
      <c r="D909" s="115"/>
      <c r="E909" s="115"/>
      <c r="F909" s="115"/>
      <c r="G909" s="115"/>
      <c r="H909" s="115"/>
      <c r="I909" s="115"/>
      <c r="J909" s="115"/>
      <c r="K909" s="115"/>
      <c r="L909" s="115"/>
      <c r="M909" s="115"/>
      <c r="N909" s="115"/>
      <c r="O909" s="115"/>
      <c r="P909" s="115"/>
      <c r="Q909" s="115"/>
      <c r="R909" s="115"/>
      <c r="S909" s="115"/>
      <c r="T909" s="115"/>
      <c r="U909" s="115"/>
      <c r="V909" s="115"/>
      <c r="W909" s="115"/>
      <c r="X909" s="115"/>
      <c r="Y909" s="115"/>
      <c r="Z909" s="115"/>
    </row>
    <row r="910" spans="1:26" ht="15.75" customHeight="1" x14ac:dyDescent="0.25">
      <c r="A910" s="115"/>
      <c r="B910" s="115"/>
      <c r="C910" s="115"/>
      <c r="D910" s="115"/>
      <c r="E910" s="115"/>
      <c r="F910" s="115"/>
      <c r="G910" s="115"/>
      <c r="H910" s="115"/>
      <c r="I910" s="115"/>
      <c r="J910" s="115"/>
      <c r="K910" s="115"/>
      <c r="L910" s="115"/>
      <c r="M910" s="115"/>
      <c r="N910" s="115"/>
      <c r="O910" s="115"/>
      <c r="P910" s="115"/>
      <c r="Q910" s="115"/>
      <c r="R910" s="115"/>
      <c r="S910" s="115"/>
      <c r="T910" s="115"/>
      <c r="U910" s="115"/>
      <c r="V910" s="115"/>
      <c r="W910" s="115"/>
      <c r="X910" s="115"/>
      <c r="Y910" s="115"/>
      <c r="Z910" s="115"/>
    </row>
    <row r="911" spans="1:26" ht="15.75" customHeight="1" x14ac:dyDescent="0.25">
      <c r="A911" s="115"/>
      <c r="B911" s="115"/>
      <c r="C911" s="115"/>
      <c r="D911" s="115"/>
      <c r="E911" s="115"/>
      <c r="F911" s="115"/>
      <c r="G911" s="115"/>
      <c r="H911" s="115"/>
      <c r="I911" s="115"/>
      <c r="J911" s="115"/>
      <c r="K911" s="115"/>
      <c r="L911" s="115"/>
      <c r="M911" s="115"/>
      <c r="N911" s="115"/>
      <c r="O911" s="115"/>
      <c r="P911" s="115"/>
      <c r="Q911" s="115"/>
      <c r="R911" s="115"/>
      <c r="S911" s="115"/>
      <c r="T911" s="115"/>
      <c r="U911" s="115"/>
      <c r="V911" s="115"/>
      <c r="W911" s="115"/>
      <c r="X911" s="115"/>
      <c r="Y911" s="115"/>
      <c r="Z911" s="115"/>
    </row>
    <row r="912" spans="1:26" ht="15.75" customHeight="1" x14ac:dyDescent="0.25">
      <c r="A912" s="115"/>
      <c r="B912" s="115"/>
      <c r="C912" s="115"/>
      <c r="D912" s="115"/>
      <c r="E912" s="115"/>
      <c r="F912" s="115"/>
      <c r="G912" s="115"/>
      <c r="H912" s="115"/>
      <c r="I912" s="115"/>
      <c r="J912" s="115"/>
      <c r="K912" s="115"/>
      <c r="L912" s="115"/>
      <c r="M912" s="115"/>
      <c r="N912" s="115"/>
      <c r="O912" s="115"/>
      <c r="P912" s="115"/>
      <c r="Q912" s="115"/>
      <c r="R912" s="115"/>
      <c r="S912" s="115"/>
      <c r="T912" s="115"/>
      <c r="U912" s="115"/>
      <c r="V912" s="115"/>
      <c r="W912" s="115"/>
      <c r="X912" s="115"/>
      <c r="Y912" s="115"/>
      <c r="Z912" s="115"/>
    </row>
    <row r="913" spans="1:26" ht="15.75" customHeight="1" x14ac:dyDescent="0.25">
      <c r="A913" s="115"/>
      <c r="B913" s="115"/>
      <c r="C913" s="115"/>
      <c r="D913" s="115"/>
      <c r="E913" s="115"/>
      <c r="F913" s="115"/>
      <c r="G913" s="115"/>
      <c r="H913" s="115"/>
      <c r="I913" s="115"/>
      <c r="J913" s="115"/>
      <c r="K913" s="115"/>
      <c r="L913" s="115"/>
      <c r="M913" s="115"/>
      <c r="N913" s="115"/>
      <c r="O913" s="115"/>
      <c r="P913" s="115"/>
      <c r="Q913" s="115"/>
      <c r="R913" s="115"/>
      <c r="S913" s="115"/>
      <c r="T913" s="115"/>
      <c r="U913" s="115"/>
      <c r="V913" s="115"/>
      <c r="W913" s="115"/>
      <c r="X913" s="115"/>
      <c r="Y913" s="115"/>
      <c r="Z913" s="115"/>
    </row>
    <row r="914" spans="1:26" ht="15.75" customHeight="1" x14ac:dyDescent="0.25">
      <c r="A914" s="115"/>
      <c r="B914" s="115"/>
      <c r="C914" s="115"/>
      <c r="D914" s="115"/>
      <c r="E914" s="115"/>
      <c r="F914" s="115"/>
      <c r="G914" s="115"/>
      <c r="H914" s="115"/>
      <c r="I914" s="115"/>
      <c r="J914" s="115"/>
      <c r="K914" s="115"/>
      <c r="L914" s="115"/>
      <c r="M914" s="115"/>
      <c r="N914" s="115"/>
      <c r="O914" s="115"/>
      <c r="P914" s="115"/>
      <c r="Q914" s="115"/>
      <c r="R914" s="115"/>
      <c r="S914" s="115"/>
      <c r="T914" s="115"/>
      <c r="U914" s="115"/>
      <c r="V914" s="115"/>
      <c r="W914" s="115"/>
      <c r="X914" s="115"/>
      <c r="Y914" s="115"/>
      <c r="Z914" s="115"/>
    </row>
    <row r="915" spans="1:26" ht="15.75" customHeight="1" x14ac:dyDescent="0.25">
      <c r="A915" s="115"/>
      <c r="B915" s="115"/>
      <c r="C915" s="115"/>
      <c r="D915" s="115"/>
      <c r="E915" s="115"/>
      <c r="F915" s="115"/>
      <c r="G915" s="115"/>
      <c r="H915" s="115"/>
      <c r="I915" s="115"/>
      <c r="J915" s="115"/>
      <c r="K915" s="115"/>
      <c r="L915" s="115"/>
      <c r="M915" s="115"/>
      <c r="N915" s="115"/>
      <c r="O915" s="115"/>
      <c r="P915" s="115"/>
      <c r="Q915" s="115"/>
      <c r="R915" s="115"/>
      <c r="S915" s="115"/>
      <c r="T915" s="115"/>
      <c r="U915" s="115"/>
      <c r="V915" s="115"/>
      <c r="W915" s="115"/>
      <c r="X915" s="115"/>
      <c r="Y915" s="115"/>
      <c r="Z915" s="115"/>
    </row>
    <row r="916" spans="1:26" ht="15.75" customHeight="1" x14ac:dyDescent="0.25">
      <c r="A916" s="115"/>
      <c r="B916" s="115"/>
      <c r="C916" s="115"/>
      <c r="D916" s="115"/>
      <c r="E916" s="115"/>
      <c r="F916" s="115"/>
      <c r="G916" s="115"/>
      <c r="H916" s="115"/>
      <c r="I916" s="115"/>
      <c r="J916" s="115"/>
      <c r="K916" s="115"/>
      <c r="L916" s="115"/>
      <c r="M916" s="115"/>
      <c r="N916" s="115"/>
      <c r="O916" s="115"/>
      <c r="P916" s="115"/>
      <c r="Q916" s="115"/>
      <c r="R916" s="115"/>
      <c r="S916" s="115"/>
      <c r="T916" s="115"/>
      <c r="U916" s="115"/>
      <c r="V916" s="115"/>
      <c r="W916" s="115"/>
      <c r="X916" s="115"/>
      <c r="Y916" s="115"/>
      <c r="Z916" s="115"/>
    </row>
    <row r="917" spans="1:26" ht="15.75" customHeight="1" x14ac:dyDescent="0.25">
      <c r="A917" s="115"/>
      <c r="B917" s="115"/>
      <c r="C917" s="115"/>
      <c r="D917" s="115"/>
      <c r="E917" s="115"/>
      <c r="F917" s="115"/>
      <c r="G917" s="115"/>
      <c r="H917" s="115"/>
      <c r="I917" s="115"/>
      <c r="J917" s="115"/>
      <c r="K917" s="115"/>
      <c r="L917" s="115"/>
      <c r="M917" s="115"/>
      <c r="N917" s="115"/>
      <c r="O917" s="115"/>
      <c r="P917" s="115"/>
      <c r="Q917" s="115"/>
      <c r="R917" s="115"/>
      <c r="S917" s="115"/>
      <c r="T917" s="115"/>
      <c r="U917" s="115"/>
      <c r="V917" s="115"/>
      <c r="W917" s="115"/>
      <c r="X917" s="115"/>
      <c r="Y917" s="115"/>
      <c r="Z917" s="115"/>
    </row>
    <row r="918" spans="1:26" ht="15.75" customHeight="1" x14ac:dyDescent="0.25">
      <c r="A918" s="115"/>
      <c r="B918" s="115"/>
      <c r="C918" s="115"/>
      <c r="D918" s="115"/>
      <c r="E918" s="115"/>
      <c r="F918" s="115"/>
      <c r="G918" s="115"/>
      <c r="H918" s="115"/>
      <c r="I918" s="115"/>
      <c r="J918" s="115"/>
      <c r="K918" s="115"/>
      <c r="L918" s="115"/>
      <c r="M918" s="115"/>
      <c r="N918" s="115"/>
      <c r="O918" s="115"/>
      <c r="P918" s="115"/>
      <c r="Q918" s="115"/>
      <c r="R918" s="115"/>
      <c r="S918" s="115"/>
      <c r="T918" s="115"/>
      <c r="U918" s="115"/>
      <c r="V918" s="115"/>
      <c r="W918" s="115"/>
      <c r="X918" s="115"/>
      <c r="Y918" s="115"/>
      <c r="Z918" s="115"/>
    </row>
    <row r="919" spans="1:26" ht="15.75" customHeight="1" x14ac:dyDescent="0.25">
      <c r="A919" s="115"/>
      <c r="B919" s="115"/>
      <c r="C919" s="115"/>
      <c r="D919" s="115"/>
      <c r="E919" s="115"/>
      <c r="F919" s="115"/>
      <c r="G919" s="115"/>
      <c r="H919" s="115"/>
      <c r="I919" s="115"/>
      <c r="J919" s="115"/>
      <c r="K919" s="115"/>
      <c r="L919" s="115"/>
      <c r="M919" s="115"/>
      <c r="N919" s="115"/>
      <c r="O919" s="115"/>
      <c r="P919" s="115"/>
      <c r="Q919" s="115"/>
      <c r="R919" s="115"/>
      <c r="S919" s="115"/>
      <c r="T919" s="115"/>
      <c r="U919" s="115"/>
      <c r="V919" s="115"/>
      <c r="W919" s="115"/>
      <c r="X919" s="115"/>
      <c r="Y919" s="115"/>
      <c r="Z919" s="115"/>
    </row>
    <row r="920" spans="1:26" ht="15.75" customHeight="1" x14ac:dyDescent="0.25">
      <c r="A920" s="115"/>
      <c r="B920" s="115"/>
      <c r="C920" s="115"/>
      <c r="D920" s="115"/>
      <c r="E920" s="115"/>
      <c r="F920" s="115"/>
      <c r="G920" s="115"/>
      <c r="H920" s="115"/>
      <c r="I920" s="115"/>
      <c r="J920" s="115"/>
      <c r="K920" s="115"/>
      <c r="L920" s="115"/>
      <c r="M920" s="115"/>
      <c r="N920" s="115"/>
      <c r="O920" s="115"/>
      <c r="P920" s="115"/>
      <c r="Q920" s="115"/>
      <c r="R920" s="115"/>
      <c r="S920" s="115"/>
      <c r="T920" s="115"/>
      <c r="U920" s="115"/>
      <c r="V920" s="115"/>
      <c r="W920" s="115"/>
      <c r="X920" s="115"/>
      <c r="Y920" s="115"/>
      <c r="Z920" s="115"/>
    </row>
    <row r="921" spans="1:26" ht="15.75" customHeight="1" x14ac:dyDescent="0.25">
      <c r="A921" s="115"/>
      <c r="B921" s="115"/>
      <c r="C921" s="115"/>
      <c r="D921" s="115"/>
      <c r="E921" s="115"/>
      <c r="F921" s="115"/>
      <c r="G921" s="115"/>
      <c r="H921" s="115"/>
      <c r="I921" s="115"/>
      <c r="J921" s="115"/>
      <c r="K921" s="115"/>
      <c r="L921" s="115"/>
      <c r="M921" s="115"/>
      <c r="N921" s="115"/>
      <c r="O921" s="115"/>
      <c r="P921" s="115"/>
      <c r="Q921" s="115"/>
      <c r="R921" s="115"/>
      <c r="S921" s="115"/>
      <c r="T921" s="115"/>
      <c r="U921" s="115"/>
      <c r="V921" s="115"/>
      <c r="W921" s="115"/>
      <c r="X921" s="115"/>
      <c r="Y921" s="115"/>
      <c r="Z921" s="115"/>
    </row>
    <row r="922" spans="1:26" ht="15.75" customHeight="1" x14ac:dyDescent="0.25">
      <c r="A922" s="115"/>
      <c r="B922" s="115"/>
      <c r="C922" s="115"/>
      <c r="D922" s="115"/>
      <c r="E922" s="115"/>
      <c r="F922" s="115"/>
      <c r="G922" s="115"/>
      <c r="H922" s="115"/>
      <c r="I922" s="115"/>
      <c r="J922" s="115"/>
      <c r="K922" s="115"/>
      <c r="L922" s="115"/>
      <c r="M922" s="115"/>
      <c r="N922" s="115"/>
      <c r="O922" s="115"/>
      <c r="P922" s="115"/>
      <c r="Q922" s="115"/>
      <c r="R922" s="115"/>
      <c r="S922" s="115"/>
      <c r="T922" s="115"/>
      <c r="U922" s="115"/>
      <c r="V922" s="115"/>
      <c r="W922" s="115"/>
      <c r="X922" s="115"/>
      <c r="Y922" s="115"/>
      <c r="Z922" s="115"/>
    </row>
    <row r="923" spans="1:26" ht="15.75" customHeight="1" x14ac:dyDescent="0.25">
      <c r="A923" s="115"/>
      <c r="B923" s="115"/>
      <c r="C923" s="115"/>
      <c r="D923" s="115"/>
      <c r="E923" s="115"/>
      <c r="F923" s="115"/>
      <c r="G923" s="115"/>
      <c r="H923" s="115"/>
      <c r="I923" s="115"/>
      <c r="J923" s="115"/>
      <c r="K923" s="115"/>
      <c r="L923" s="115"/>
      <c r="M923" s="115"/>
      <c r="N923" s="115"/>
      <c r="O923" s="115"/>
      <c r="P923" s="115"/>
      <c r="Q923" s="115"/>
      <c r="R923" s="115"/>
      <c r="S923" s="115"/>
      <c r="T923" s="115"/>
      <c r="U923" s="115"/>
      <c r="V923" s="115"/>
      <c r="W923" s="115"/>
      <c r="X923" s="115"/>
      <c r="Y923" s="115"/>
      <c r="Z923" s="115"/>
    </row>
    <row r="924" spans="1:26" ht="15.75" customHeight="1" x14ac:dyDescent="0.25">
      <c r="A924" s="115"/>
      <c r="B924" s="115"/>
      <c r="C924" s="115"/>
      <c r="D924" s="115"/>
      <c r="E924" s="115"/>
      <c r="F924" s="115"/>
      <c r="G924" s="115"/>
      <c r="H924" s="115"/>
      <c r="I924" s="115"/>
      <c r="J924" s="115"/>
      <c r="K924" s="115"/>
      <c r="L924" s="115"/>
      <c r="M924" s="115"/>
      <c r="N924" s="115"/>
      <c r="O924" s="115"/>
      <c r="P924" s="115"/>
      <c r="Q924" s="115"/>
      <c r="R924" s="115"/>
      <c r="S924" s="115"/>
      <c r="T924" s="115"/>
      <c r="U924" s="115"/>
      <c r="V924" s="115"/>
      <c r="W924" s="115"/>
      <c r="X924" s="115"/>
      <c r="Y924" s="115"/>
      <c r="Z924" s="115"/>
    </row>
    <row r="925" spans="1:26" ht="15.75" customHeight="1" x14ac:dyDescent="0.25">
      <c r="A925" s="115"/>
      <c r="B925" s="115"/>
      <c r="C925" s="115"/>
      <c r="D925" s="115"/>
      <c r="E925" s="115"/>
      <c r="F925" s="115"/>
      <c r="G925" s="115"/>
      <c r="H925" s="115"/>
      <c r="I925" s="115"/>
      <c r="J925" s="115"/>
      <c r="K925" s="115"/>
      <c r="L925" s="115"/>
      <c r="M925" s="115"/>
      <c r="N925" s="115"/>
      <c r="O925" s="115"/>
      <c r="P925" s="115"/>
      <c r="Q925" s="115"/>
      <c r="R925" s="115"/>
      <c r="S925" s="115"/>
      <c r="T925" s="115"/>
      <c r="U925" s="115"/>
      <c r="V925" s="115"/>
      <c r="W925" s="115"/>
      <c r="X925" s="115"/>
      <c r="Y925" s="115"/>
      <c r="Z925" s="115"/>
    </row>
    <row r="926" spans="1:26" ht="15.75" customHeight="1" x14ac:dyDescent="0.25">
      <c r="A926" s="115"/>
      <c r="B926" s="115"/>
      <c r="C926" s="115"/>
      <c r="D926" s="115"/>
      <c r="E926" s="115"/>
      <c r="F926" s="115"/>
      <c r="G926" s="115"/>
      <c r="H926" s="115"/>
      <c r="I926" s="115"/>
      <c r="J926" s="115"/>
      <c r="K926" s="115"/>
      <c r="L926" s="115"/>
      <c r="M926" s="115"/>
      <c r="N926" s="115"/>
      <c r="O926" s="115"/>
      <c r="P926" s="115"/>
      <c r="Q926" s="115"/>
      <c r="R926" s="115"/>
      <c r="S926" s="115"/>
      <c r="T926" s="115"/>
      <c r="U926" s="115"/>
      <c r="V926" s="115"/>
      <c r="W926" s="115"/>
      <c r="X926" s="115"/>
      <c r="Y926" s="115"/>
      <c r="Z926" s="115"/>
    </row>
    <row r="927" spans="1:26" ht="15.75" customHeight="1" x14ac:dyDescent="0.25">
      <c r="A927" s="115"/>
      <c r="B927" s="115"/>
      <c r="C927" s="115"/>
      <c r="D927" s="115"/>
      <c r="E927" s="115"/>
      <c r="F927" s="115"/>
      <c r="G927" s="115"/>
      <c r="H927" s="115"/>
      <c r="I927" s="115"/>
      <c r="J927" s="115"/>
      <c r="K927" s="115"/>
      <c r="L927" s="115"/>
      <c r="M927" s="115"/>
      <c r="N927" s="115"/>
      <c r="O927" s="115"/>
      <c r="P927" s="115"/>
      <c r="Q927" s="115"/>
      <c r="R927" s="115"/>
      <c r="S927" s="115"/>
      <c r="T927" s="115"/>
      <c r="U927" s="115"/>
      <c r="V927" s="115"/>
      <c r="W927" s="115"/>
      <c r="X927" s="115"/>
      <c r="Y927" s="115"/>
      <c r="Z927" s="115"/>
    </row>
    <row r="928" spans="1:26" ht="15.75" customHeight="1" x14ac:dyDescent="0.25">
      <c r="A928" s="115"/>
      <c r="B928" s="115"/>
      <c r="C928" s="115"/>
      <c r="D928" s="115"/>
      <c r="E928" s="115"/>
      <c r="F928" s="115"/>
      <c r="G928" s="115"/>
      <c r="H928" s="115"/>
      <c r="I928" s="115"/>
      <c r="J928" s="115"/>
      <c r="K928" s="115"/>
      <c r="L928" s="115"/>
      <c r="M928" s="115"/>
      <c r="N928" s="115"/>
      <c r="O928" s="115"/>
      <c r="P928" s="115"/>
      <c r="Q928" s="115"/>
      <c r="R928" s="115"/>
      <c r="S928" s="115"/>
      <c r="T928" s="115"/>
      <c r="U928" s="115"/>
      <c r="V928" s="115"/>
      <c r="W928" s="115"/>
      <c r="X928" s="115"/>
      <c r="Y928" s="115"/>
      <c r="Z928" s="115"/>
    </row>
    <row r="929" spans="1:26" ht="15.75" customHeight="1" x14ac:dyDescent="0.25">
      <c r="A929" s="115"/>
      <c r="B929" s="115"/>
      <c r="C929" s="115"/>
      <c r="D929" s="115"/>
      <c r="E929" s="115"/>
      <c r="F929" s="115"/>
      <c r="G929" s="115"/>
      <c r="H929" s="115"/>
      <c r="I929" s="115"/>
      <c r="J929" s="115"/>
      <c r="K929" s="115"/>
      <c r="L929" s="115"/>
      <c r="M929" s="115"/>
      <c r="N929" s="115"/>
      <c r="O929" s="115"/>
      <c r="P929" s="115"/>
      <c r="Q929" s="115"/>
      <c r="R929" s="115"/>
      <c r="S929" s="115"/>
      <c r="T929" s="115"/>
      <c r="U929" s="115"/>
      <c r="V929" s="115"/>
      <c r="W929" s="115"/>
      <c r="X929" s="115"/>
      <c r="Y929" s="115"/>
      <c r="Z929" s="115"/>
    </row>
    <row r="930" spans="1:26" ht="15.75" customHeight="1" x14ac:dyDescent="0.25">
      <c r="A930" s="115"/>
      <c r="B930" s="115"/>
      <c r="C930" s="115"/>
      <c r="D930" s="115"/>
      <c r="E930" s="115"/>
      <c r="F930" s="115"/>
      <c r="G930" s="115"/>
      <c r="H930" s="115"/>
      <c r="I930" s="115"/>
      <c r="J930" s="115"/>
      <c r="K930" s="115"/>
      <c r="L930" s="115"/>
      <c r="M930" s="115"/>
      <c r="N930" s="115"/>
      <c r="O930" s="115"/>
      <c r="P930" s="115"/>
      <c r="Q930" s="115"/>
      <c r="R930" s="115"/>
      <c r="S930" s="115"/>
      <c r="T930" s="115"/>
      <c r="U930" s="115"/>
      <c r="V930" s="115"/>
      <c r="W930" s="115"/>
      <c r="X930" s="115"/>
      <c r="Y930" s="115"/>
      <c r="Z930" s="115"/>
    </row>
    <row r="931" spans="1:26" ht="15.75" customHeight="1" x14ac:dyDescent="0.25">
      <c r="A931" s="115"/>
      <c r="B931" s="115"/>
      <c r="C931" s="115"/>
      <c r="D931" s="115"/>
      <c r="E931" s="115"/>
      <c r="F931" s="115"/>
      <c r="G931" s="115"/>
      <c r="H931" s="115"/>
      <c r="I931" s="115"/>
      <c r="J931" s="115"/>
      <c r="K931" s="115"/>
      <c r="L931" s="115"/>
      <c r="M931" s="115"/>
      <c r="N931" s="115"/>
      <c r="O931" s="115"/>
      <c r="P931" s="115"/>
      <c r="Q931" s="115"/>
      <c r="R931" s="115"/>
      <c r="S931" s="115"/>
      <c r="T931" s="115"/>
      <c r="U931" s="115"/>
      <c r="V931" s="115"/>
      <c r="W931" s="115"/>
      <c r="X931" s="115"/>
      <c r="Y931" s="115"/>
      <c r="Z931" s="115"/>
    </row>
    <row r="932" spans="1:26" ht="15.75" customHeight="1" x14ac:dyDescent="0.25">
      <c r="A932" s="115"/>
      <c r="B932" s="115"/>
      <c r="C932" s="115"/>
      <c r="D932" s="115"/>
      <c r="E932" s="115"/>
      <c r="F932" s="115"/>
      <c r="G932" s="115"/>
      <c r="H932" s="115"/>
      <c r="I932" s="115"/>
      <c r="J932" s="115"/>
      <c r="K932" s="115"/>
      <c r="L932" s="115"/>
      <c r="M932" s="115"/>
      <c r="N932" s="115"/>
      <c r="O932" s="115"/>
      <c r="P932" s="115"/>
      <c r="Q932" s="115"/>
      <c r="R932" s="115"/>
      <c r="S932" s="115"/>
      <c r="T932" s="115"/>
      <c r="U932" s="115"/>
      <c r="V932" s="115"/>
      <c r="W932" s="115"/>
      <c r="X932" s="115"/>
      <c r="Y932" s="115"/>
      <c r="Z932" s="115"/>
    </row>
    <row r="933" spans="1:26" ht="15.75" customHeight="1" x14ac:dyDescent="0.25">
      <c r="A933" s="115"/>
      <c r="B933" s="115"/>
      <c r="C933" s="115"/>
      <c r="D933" s="115"/>
      <c r="E933" s="115"/>
      <c r="F933" s="115"/>
      <c r="G933" s="115"/>
      <c r="H933" s="115"/>
      <c r="I933" s="115"/>
      <c r="J933" s="115"/>
      <c r="K933" s="115"/>
      <c r="L933" s="115"/>
      <c r="M933" s="115"/>
      <c r="N933" s="115"/>
      <c r="O933" s="115"/>
      <c r="P933" s="115"/>
      <c r="Q933" s="115"/>
      <c r="R933" s="115"/>
      <c r="S933" s="115"/>
      <c r="T933" s="115"/>
      <c r="U933" s="115"/>
      <c r="V933" s="115"/>
      <c r="W933" s="115"/>
      <c r="X933" s="115"/>
      <c r="Y933" s="115"/>
      <c r="Z933" s="115"/>
    </row>
    <row r="934" spans="1:26" ht="15.75" customHeight="1" x14ac:dyDescent="0.25">
      <c r="A934" s="115"/>
      <c r="B934" s="115"/>
      <c r="C934" s="115"/>
      <c r="D934" s="115"/>
      <c r="E934" s="115"/>
      <c r="F934" s="115"/>
      <c r="G934" s="115"/>
      <c r="H934" s="115"/>
      <c r="I934" s="115"/>
      <c r="J934" s="115"/>
      <c r="K934" s="115"/>
      <c r="L934" s="115"/>
      <c r="M934" s="115"/>
      <c r="N934" s="115"/>
      <c r="O934" s="115"/>
      <c r="P934" s="115"/>
      <c r="Q934" s="115"/>
      <c r="R934" s="115"/>
      <c r="S934" s="115"/>
      <c r="T934" s="115"/>
      <c r="U934" s="115"/>
      <c r="V934" s="115"/>
      <c r="W934" s="115"/>
      <c r="X934" s="115"/>
      <c r="Y934" s="115"/>
      <c r="Z934" s="115"/>
    </row>
    <row r="935" spans="1:26" ht="15.75" customHeight="1" x14ac:dyDescent="0.25">
      <c r="A935" s="115"/>
      <c r="B935" s="115"/>
      <c r="C935" s="115"/>
      <c r="D935" s="115"/>
      <c r="E935" s="115"/>
      <c r="F935" s="115"/>
      <c r="G935" s="115"/>
      <c r="H935" s="115"/>
      <c r="I935" s="115"/>
      <c r="J935" s="115"/>
      <c r="K935" s="115"/>
      <c r="L935" s="115"/>
      <c r="M935" s="115"/>
      <c r="N935" s="115"/>
      <c r="O935" s="115"/>
      <c r="P935" s="115"/>
      <c r="Q935" s="115"/>
      <c r="R935" s="115"/>
      <c r="S935" s="115"/>
      <c r="T935" s="115"/>
      <c r="U935" s="115"/>
      <c r="V935" s="115"/>
      <c r="W935" s="115"/>
      <c r="X935" s="115"/>
      <c r="Y935" s="115"/>
      <c r="Z935" s="115"/>
    </row>
    <row r="936" spans="1:26" ht="15.75" customHeight="1" x14ac:dyDescent="0.25">
      <c r="A936" s="115"/>
      <c r="B936" s="115"/>
      <c r="C936" s="115"/>
      <c r="D936" s="115"/>
      <c r="E936" s="115"/>
      <c r="F936" s="115"/>
      <c r="G936" s="115"/>
      <c r="H936" s="115"/>
      <c r="I936" s="115"/>
      <c r="J936" s="115"/>
      <c r="K936" s="115"/>
      <c r="L936" s="115"/>
      <c r="M936" s="115"/>
      <c r="N936" s="115"/>
      <c r="O936" s="115"/>
      <c r="P936" s="115"/>
      <c r="Q936" s="115"/>
      <c r="R936" s="115"/>
      <c r="S936" s="115"/>
      <c r="T936" s="115"/>
      <c r="U936" s="115"/>
      <c r="V936" s="115"/>
      <c r="W936" s="115"/>
      <c r="X936" s="115"/>
      <c r="Y936" s="115"/>
      <c r="Z936" s="115"/>
    </row>
    <row r="937" spans="1:26" ht="15.75" customHeight="1" x14ac:dyDescent="0.25">
      <c r="A937" s="115"/>
      <c r="B937" s="115"/>
      <c r="C937" s="115"/>
      <c r="D937" s="115"/>
      <c r="E937" s="115"/>
      <c r="F937" s="115"/>
      <c r="G937" s="115"/>
      <c r="H937" s="115"/>
      <c r="I937" s="115"/>
      <c r="J937" s="115"/>
      <c r="K937" s="115"/>
      <c r="L937" s="115"/>
      <c r="M937" s="115"/>
      <c r="N937" s="115"/>
      <c r="O937" s="115"/>
      <c r="P937" s="115"/>
      <c r="Q937" s="115"/>
      <c r="R937" s="115"/>
      <c r="S937" s="115"/>
      <c r="T937" s="115"/>
      <c r="U937" s="115"/>
      <c r="V937" s="115"/>
      <c r="W937" s="115"/>
      <c r="X937" s="115"/>
      <c r="Y937" s="115"/>
      <c r="Z937" s="115"/>
    </row>
    <row r="938" spans="1:26" ht="15.75" customHeight="1" x14ac:dyDescent="0.25">
      <c r="A938" s="115"/>
      <c r="B938" s="115"/>
      <c r="C938" s="115"/>
      <c r="D938" s="115"/>
      <c r="E938" s="115"/>
      <c r="F938" s="115"/>
      <c r="G938" s="115"/>
      <c r="H938" s="115"/>
      <c r="I938" s="115"/>
      <c r="J938" s="115"/>
      <c r="K938" s="115"/>
      <c r="L938" s="115"/>
      <c r="M938" s="115"/>
      <c r="N938" s="115"/>
      <c r="O938" s="115"/>
      <c r="P938" s="115"/>
      <c r="Q938" s="115"/>
      <c r="R938" s="115"/>
      <c r="S938" s="115"/>
      <c r="T938" s="115"/>
      <c r="U938" s="115"/>
      <c r="V938" s="115"/>
      <c r="W938" s="115"/>
      <c r="X938" s="115"/>
      <c r="Y938" s="115"/>
      <c r="Z938" s="115"/>
    </row>
    <row r="939" spans="1:26" ht="15.75" customHeight="1" x14ac:dyDescent="0.25">
      <c r="A939" s="115"/>
      <c r="B939" s="115"/>
      <c r="C939" s="115"/>
      <c r="D939" s="115"/>
      <c r="E939" s="115"/>
      <c r="F939" s="115"/>
      <c r="G939" s="115"/>
      <c r="H939" s="115"/>
      <c r="I939" s="115"/>
      <c r="J939" s="115"/>
      <c r="K939" s="115"/>
      <c r="L939" s="115"/>
      <c r="M939" s="115"/>
      <c r="N939" s="115"/>
      <c r="O939" s="115"/>
      <c r="P939" s="115"/>
      <c r="Q939" s="115"/>
      <c r="R939" s="115"/>
      <c r="S939" s="115"/>
      <c r="T939" s="115"/>
      <c r="U939" s="115"/>
      <c r="V939" s="115"/>
      <c r="W939" s="115"/>
      <c r="X939" s="115"/>
      <c r="Y939" s="115"/>
      <c r="Z939" s="115"/>
    </row>
    <row r="940" spans="1:26" ht="15.75" customHeight="1" x14ac:dyDescent="0.25">
      <c r="A940" s="115"/>
      <c r="B940" s="115"/>
      <c r="C940" s="115"/>
      <c r="D940" s="115"/>
      <c r="E940" s="115"/>
      <c r="F940" s="115"/>
      <c r="G940" s="115"/>
      <c r="H940" s="115"/>
      <c r="I940" s="115"/>
      <c r="J940" s="115"/>
      <c r="K940" s="115"/>
      <c r="L940" s="115"/>
      <c r="M940" s="115"/>
      <c r="N940" s="115"/>
      <c r="O940" s="115"/>
      <c r="P940" s="115"/>
      <c r="Q940" s="115"/>
      <c r="R940" s="115"/>
      <c r="S940" s="115"/>
      <c r="T940" s="115"/>
      <c r="U940" s="115"/>
      <c r="V940" s="115"/>
      <c r="W940" s="115"/>
      <c r="X940" s="115"/>
      <c r="Y940" s="115"/>
      <c r="Z940" s="115"/>
    </row>
    <row r="941" spans="1:26" ht="15.75" customHeight="1" x14ac:dyDescent="0.25">
      <c r="A941" s="115"/>
      <c r="B941" s="115"/>
      <c r="C941" s="115"/>
      <c r="D941" s="115"/>
      <c r="E941" s="115"/>
      <c r="F941" s="115"/>
      <c r="G941" s="115"/>
      <c r="H941" s="115"/>
      <c r="I941" s="115"/>
      <c r="J941" s="115"/>
      <c r="K941" s="115"/>
      <c r="L941" s="115"/>
      <c r="M941" s="115"/>
      <c r="N941" s="115"/>
      <c r="O941" s="115"/>
      <c r="P941" s="115"/>
      <c r="Q941" s="115"/>
      <c r="R941" s="115"/>
      <c r="S941" s="115"/>
      <c r="T941" s="115"/>
      <c r="U941" s="115"/>
      <c r="V941" s="115"/>
      <c r="W941" s="115"/>
      <c r="X941" s="115"/>
      <c r="Y941" s="115"/>
      <c r="Z941" s="115"/>
    </row>
    <row r="942" spans="1:26" ht="15.75" customHeight="1" x14ac:dyDescent="0.25">
      <c r="A942" s="115"/>
      <c r="B942" s="115"/>
      <c r="C942" s="115"/>
      <c r="D942" s="115"/>
      <c r="E942" s="115"/>
      <c r="F942" s="115"/>
      <c r="G942" s="115"/>
      <c r="H942" s="115"/>
      <c r="I942" s="115"/>
      <c r="J942" s="115"/>
      <c r="K942" s="115"/>
      <c r="L942" s="115"/>
      <c r="M942" s="115"/>
      <c r="N942" s="115"/>
      <c r="O942" s="115"/>
      <c r="P942" s="115"/>
      <c r="Q942" s="115"/>
      <c r="R942" s="115"/>
      <c r="S942" s="115"/>
      <c r="T942" s="115"/>
      <c r="U942" s="115"/>
      <c r="V942" s="115"/>
      <c r="W942" s="115"/>
      <c r="X942" s="115"/>
      <c r="Y942" s="115"/>
      <c r="Z942" s="115"/>
    </row>
    <row r="943" spans="1:26" ht="15.75" customHeight="1" x14ac:dyDescent="0.25">
      <c r="A943" s="115"/>
      <c r="B943" s="115"/>
      <c r="C943" s="115"/>
      <c r="D943" s="115"/>
      <c r="E943" s="115"/>
      <c r="F943" s="115"/>
      <c r="G943" s="115"/>
      <c r="H943" s="115"/>
      <c r="I943" s="115"/>
      <c r="J943" s="115"/>
      <c r="K943" s="115"/>
      <c r="L943" s="115"/>
      <c r="M943" s="115"/>
      <c r="N943" s="115"/>
      <c r="O943" s="115"/>
      <c r="P943" s="115"/>
      <c r="Q943" s="115"/>
      <c r="R943" s="115"/>
      <c r="S943" s="115"/>
      <c r="T943" s="115"/>
      <c r="U943" s="115"/>
      <c r="V943" s="115"/>
      <c r="W943" s="115"/>
      <c r="X943" s="115"/>
      <c r="Y943" s="115"/>
      <c r="Z943" s="115"/>
    </row>
    <row r="944" spans="1:26" ht="15.75" customHeight="1" x14ac:dyDescent="0.25">
      <c r="A944" s="115"/>
      <c r="B944" s="115"/>
      <c r="C944" s="115"/>
      <c r="D944" s="115"/>
      <c r="E944" s="115"/>
      <c r="F944" s="115"/>
      <c r="G944" s="115"/>
      <c r="H944" s="115"/>
      <c r="I944" s="115"/>
      <c r="J944" s="115"/>
      <c r="K944" s="115"/>
      <c r="L944" s="115"/>
      <c r="M944" s="115"/>
      <c r="N944" s="115"/>
      <c r="O944" s="115"/>
      <c r="P944" s="115"/>
      <c r="Q944" s="115"/>
      <c r="R944" s="115"/>
      <c r="S944" s="115"/>
      <c r="T944" s="115"/>
      <c r="U944" s="115"/>
      <c r="V944" s="115"/>
      <c r="W944" s="115"/>
      <c r="X944" s="115"/>
      <c r="Y944" s="115"/>
      <c r="Z944" s="115"/>
    </row>
    <row r="945" spans="1:26" ht="15.75" customHeight="1" x14ac:dyDescent="0.25">
      <c r="A945" s="115"/>
      <c r="B945" s="115"/>
      <c r="C945" s="115"/>
      <c r="D945" s="115"/>
      <c r="E945" s="115"/>
      <c r="F945" s="115"/>
      <c r="G945" s="115"/>
      <c r="H945" s="115"/>
      <c r="I945" s="115"/>
      <c r="J945" s="115"/>
      <c r="K945" s="115"/>
      <c r="L945" s="115"/>
      <c r="M945" s="115"/>
      <c r="N945" s="115"/>
      <c r="O945" s="115"/>
      <c r="P945" s="115"/>
      <c r="Q945" s="115"/>
      <c r="R945" s="115"/>
      <c r="S945" s="115"/>
      <c r="T945" s="115"/>
      <c r="U945" s="115"/>
      <c r="V945" s="115"/>
      <c r="W945" s="115"/>
      <c r="X945" s="115"/>
      <c r="Y945" s="115"/>
      <c r="Z945" s="115"/>
    </row>
    <row r="946" spans="1:26" ht="15.75" customHeight="1" x14ac:dyDescent="0.25">
      <c r="A946" s="115"/>
      <c r="B946" s="115"/>
      <c r="C946" s="115"/>
      <c r="D946" s="115"/>
      <c r="E946" s="115"/>
      <c r="F946" s="115"/>
      <c r="G946" s="115"/>
      <c r="H946" s="115"/>
      <c r="I946" s="115"/>
      <c r="J946" s="115"/>
      <c r="K946" s="115"/>
      <c r="L946" s="115"/>
      <c r="M946" s="115"/>
      <c r="N946" s="115"/>
      <c r="O946" s="115"/>
      <c r="P946" s="115"/>
      <c r="Q946" s="115"/>
      <c r="R946" s="115"/>
      <c r="S946" s="115"/>
      <c r="T946" s="115"/>
      <c r="U946" s="115"/>
      <c r="V946" s="115"/>
      <c r="W946" s="115"/>
      <c r="X946" s="115"/>
      <c r="Y946" s="115"/>
      <c r="Z946" s="115"/>
    </row>
    <row r="947" spans="1:26" ht="15.75" customHeight="1" x14ac:dyDescent="0.25">
      <c r="A947" s="115"/>
      <c r="B947" s="115"/>
      <c r="C947" s="115"/>
      <c r="D947" s="115"/>
      <c r="E947" s="115"/>
      <c r="F947" s="115"/>
      <c r="G947" s="115"/>
      <c r="H947" s="115"/>
      <c r="I947" s="115"/>
      <c r="J947" s="115"/>
      <c r="K947" s="115"/>
      <c r="L947" s="115"/>
      <c r="M947" s="115"/>
      <c r="N947" s="115"/>
      <c r="O947" s="115"/>
      <c r="P947" s="115"/>
      <c r="Q947" s="115"/>
      <c r="R947" s="115"/>
      <c r="S947" s="115"/>
      <c r="T947" s="115"/>
      <c r="U947" s="115"/>
      <c r="V947" s="115"/>
      <c r="W947" s="115"/>
      <c r="X947" s="115"/>
      <c r="Y947" s="115"/>
      <c r="Z947" s="115"/>
    </row>
    <row r="948" spans="1:26" ht="15.75" customHeight="1" x14ac:dyDescent="0.25">
      <c r="A948" s="115"/>
      <c r="B948" s="115"/>
      <c r="C948" s="115"/>
      <c r="D948" s="115"/>
      <c r="E948" s="115"/>
      <c r="F948" s="115"/>
      <c r="G948" s="115"/>
      <c r="H948" s="115"/>
      <c r="I948" s="115"/>
      <c r="J948" s="115"/>
      <c r="K948" s="115"/>
      <c r="L948" s="115"/>
      <c r="M948" s="115"/>
      <c r="N948" s="115"/>
      <c r="O948" s="115"/>
      <c r="P948" s="115"/>
      <c r="Q948" s="115"/>
      <c r="R948" s="115"/>
      <c r="S948" s="115"/>
      <c r="T948" s="115"/>
      <c r="U948" s="115"/>
      <c r="V948" s="115"/>
      <c r="W948" s="115"/>
      <c r="X948" s="115"/>
      <c r="Y948" s="115"/>
      <c r="Z948" s="115"/>
    </row>
    <row r="949" spans="1:26" ht="15.75" customHeight="1" x14ac:dyDescent="0.25">
      <c r="A949" s="115"/>
      <c r="B949" s="115"/>
      <c r="C949" s="115"/>
      <c r="D949" s="115"/>
      <c r="E949" s="115"/>
      <c r="F949" s="115"/>
      <c r="G949" s="115"/>
      <c r="H949" s="115"/>
      <c r="I949" s="115"/>
      <c r="J949" s="115"/>
      <c r="K949" s="115"/>
      <c r="L949" s="115"/>
      <c r="M949" s="115"/>
      <c r="N949" s="115"/>
      <c r="O949" s="115"/>
      <c r="P949" s="115"/>
      <c r="Q949" s="115"/>
      <c r="R949" s="115"/>
      <c r="S949" s="115"/>
      <c r="T949" s="115"/>
      <c r="U949" s="115"/>
      <c r="V949" s="115"/>
      <c r="W949" s="115"/>
      <c r="X949" s="115"/>
      <c r="Y949" s="115"/>
      <c r="Z949" s="115"/>
    </row>
    <row r="950" spans="1:26" ht="15.75" customHeight="1" x14ac:dyDescent="0.25">
      <c r="A950" s="115"/>
      <c r="B950" s="115"/>
      <c r="C950" s="115"/>
      <c r="D950" s="115"/>
      <c r="E950" s="115"/>
      <c r="F950" s="115"/>
      <c r="G950" s="115"/>
      <c r="H950" s="115"/>
      <c r="I950" s="115"/>
      <c r="J950" s="115"/>
      <c r="K950" s="115"/>
      <c r="L950" s="115"/>
      <c r="M950" s="115"/>
      <c r="N950" s="115"/>
      <c r="O950" s="115"/>
      <c r="P950" s="115"/>
      <c r="Q950" s="115"/>
      <c r="R950" s="115"/>
      <c r="S950" s="115"/>
      <c r="T950" s="115"/>
      <c r="U950" s="115"/>
      <c r="V950" s="115"/>
      <c r="W950" s="115"/>
      <c r="X950" s="115"/>
      <c r="Y950" s="115"/>
      <c r="Z950" s="115"/>
    </row>
    <row r="951" spans="1:26" ht="15.75" customHeight="1" x14ac:dyDescent="0.25">
      <c r="A951" s="115"/>
      <c r="B951" s="115"/>
      <c r="C951" s="115"/>
      <c r="D951" s="115"/>
      <c r="E951" s="115"/>
      <c r="F951" s="115"/>
      <c r="G951" s="115"/>
      <c r="H951" s="115"/>
      <c r="I951" s="115"/>
      <c r="J951" s="115"/>
      <c r="K951" s="115"/>
      <c r="L951" s="115"/>
      <c r="M951" s="115"/>
      <c r="N951" s="115"/>
      <c r="O951" s="115"/>
      <c r="P951" s="115"/>
      <c r="Q951" s="115"/>
      <c r="R951" s="115"/>
      <c r="S951" s="115"/>
      <c r="T951" s="115"/>
      <c r="U951" s="115"/>
      <c r="V951" s="115"/>
      <c r="W951" s="115"/>
      <c r="X951" s="115"/>
      <c r="Y951" s="115"/>
      <c r="Z951" s="115"/>
    </row>
    <row r="952" spans="1:26" ht="15.75" customHeight="1" x14ac:dyDescent="0.25">
      <c r="A952" s="115"/>
      <c r="B952" s="115"/>
      <c r="C952" s="115"/>
      <c r="D952" s="115"/>
      <c r="E952" s="115"/>
      <c r="F952" s="115"/>
      <c r="G952" s="115"/>
      <c r="H952" s="115"/>
      <c r="I952" s="115"/>
      <c r="J952" s="115"/>
      <c r="K952" s="115"/>
      <c r="L952" s="115"/>
      <c r="M952" s="115"/>
      <c r="N952" s="115"/>
      <c r="O952" s="115"/>
      <c r="P952" s="115"/>
      <c r="Q952" s="115"/>
      <c r="R952" s="115"/>
      <c r="S952" s="115"/>
      <c r="T952" s="115"/>
      <c r="U952" s="115"/>
      <c r="V952" s="115"/>
      <c r="W952" s="115"/>
      <c r="X952" s="115"/>
      <c r="Y952" s="115"/>
      <c r="Z952" s="115"/>
    </row>
    <row r="953" spans="1:26" ht="15.75" customHeight="1" x14ac:dyDescent="0.25">
      <c r="A953" s="115"/>
      <c r="B953" s="115"/>
      <c r="C953" s="115"/>
      <c r="D953" s="115"/>
      <c r="E953" s="115"/>
      <c r="F953" s="115"/>
      <c r="G953" s="115"/>
      <c r="H953" s="115"/>
      <c r="I953" s="115"/>
      <c r="J953" s="115"/>
      <c r="K953" s="115"/>
      <c r="L953" s="115"/>
      <c r="M953" s="115"/>
      <c r="N953" s="115"/>
      <c r="O953" s="115"/>
      <c r="P953" s="115"/>
      <c r="Q953" s="115"/>
      <c r="R953" s="115"/>
      <c r="S953" s="115"/>
      <c r="T953" s="115"/>
      <c r="U953" s="115"/>
      <c r="V953" s="115"/>
      <c r="W953" s="115"/>
      <c r="X953" s="115"/>
      <c r="Y953" s="115"/>
      <c r="Z953" s="115"/>
    </row>
    <row r="954" spans="1:26" ht="15.75" customHeight="1" x14ac:dyDescent="0.25">
      <c r="A954" s="115"/>
      <c r="B954" s="115"/>
      <c r="C954" s="115"/>
      <c r="D954" s="115"/>
      <c r="E954" s="115"/>
      <c r="F954" s="115"/>
      <c r="G954" s="115"/>
      <c r="H954" s="115"/>
      <c r="I954" s="115"/>
      <c r="J954" s="115"/>
      <c r="K954" s="115"/>
      <c r="L954" s="115"/>
      <c r="M954" s="115"/>
      <c r="N954" s="115"/>
      <c r="O954" s="115"/>
      <c r="P954" s="115"/>
      <c r="Q954" s="115"/>
      <c r="R954" s="115"/>
      <c r="S954" s="115"/>
      <c r="T954" s="115"/>
      <c r="U954" s="115"/>
      <c r="V954" s="115"/>
      <c r="W954" s="115"/>
      <c r="X954" s="115"/>
      <c r="Y954" s="115"/>
      <c r="Z954" s="115"/>
    </row>
    <row r="955" spans="1:26" ht="15.75" customHeight="1" x14ac:dyDescent="0.25">
      <c r="A955" s="115"/>
      <c r="B955" s="115"/>
      <c r="C955" s="115"/>
      <c r="D955" s="115"/>
      <c r="E955" s="115"/>
      <c r="F955" s="115"/>
      <c r="G955" s="115"/>
      <c r="H955" s="115"/>
      <c r="I955" s="115"/>
      <c r="J955" s="115"/>
      <c r="K955" s="115"/>
      <c r="L955" s="115"/>
      <c r="M955" s="115"/>
      <c r="N955" s="115"/>
      <c r="O955" s="115"/>
      <c r="P955" s="115"/>
      <c r="Q955" s="115"/>
      <c r="R955" s="115"/>
      <c r="S955" s="115"/>
      <c r="T955" s="115"/>
      <c r="U955" s="115"/>
      <c r="V955" s="115"/>
      <c r="W955" s="115"/>
      <c r="X955" s="115"/>
      <c r="Y955" s="115"/>
      <c r="Z955" s="115"/>
    </row>
    <row r="956" spans="1:26" ht="15.75" customHeight="1" x14ac:dyDescent="0.25">
      <c r="A956" s="115"/>
      <c r="B956" s="115"/>
      <c r="C956" s="115"/>
      <c r="D956" s="115"/>
      <c r="E956" s="115"/>
      <c r="F956" s="115"/>
      <c r="G956" s="115"/>
      <c r="H956" s="115"/>
      <c r="I956" s="115"/>
      <c r="J956" s="115"/>
      <c r="K956" s="115"/>
      <c r="L956" s="115"/>
      <c r="M956" s="115"/>
      <c r="N956" s="115"/>
      <c r="O956" s="115"/>
      <c r="P956" s="115"/>
      <c r="Q956" s="115"/>
      <c r="R956" s="115"/>
      <c r="S956" s="115"/>
      <c r="T956" s="115"/>
      <c r="U956" s="115"/>
      <c r="V956" s="115"/>
      <c r="W956" s="115"/>
      <c r="X956" s="115"/>
      <c r="Y956" s="115"/>
      <c r="Z956" s="115"/>
    </row>
    <row r="957" spans="1:26" ht="15.75" customHeight="1" x14ac:dyDescent="0.25">
      <c r="A957" s="115"/>
      <c r="B957" s="115"/>
      <c r="C957" s="115"/>
      <c r="D957" s="115"/>
      <c r="E957" s="115"/>
      <c r="F957" s="115"/>
      <c r="G957" s="115"/>
      <c r="H957" s="115"/>
      <c r="I957" s="115"/>
      <c r="J957" s="115"/>
      <c r="K957" s="115"/>
      <c r="L957" s="115"/>
      <c r="M957" s="115"/>
      <c r="N957" s="115"/>
      <c r="O957" s="115"/>
      <c r="P957" s="115"/>
      <c r="Q957" s="115"/>
      <c r="R957" s="115"/>
      <c r="S957" s="115"/>
      <c r="T957" s="115"/>
      <c r="U957" s="115"/>
      <c r="V957" s="115"/>
      <c r="W957" s="115"/>
      <c r="X957" s="115"/>
      <c r="Y957" s="115"/>
      <c r="Z957" s="115"/>
    </row>
    <row r="958" spans="1:26" ht="15.75" customHeight="1" x14ac:dyDescent="0.25">
      <c r="A958" s="115"/>
      <c r="B958" s="115"/>
      <c r="C958" s="115"/>
      <c r="D958" s="115"/>
      <c r="E958" s="115"/>
      <c r="F958" s="115"/>
      <c r="G958" s="115"/>
      <c r="H958" s="115"/>
      <c r="I958" s="115"/>
      <c r="J958" s="115"/>
      <c r="K958" s="115"/>
      <c r="L958" s="115"/>
      <c r="M958" s="115"/>
      <c r="N958" s="115"/>
      <c r="O958" s="115"/>
      <c r="P958" s="115"/>
      <c r="Q958" s="115"/>
      <c r="R958" s="115"/>
      <c r="S958" s="115"/>
      <c r="T958" s="115"/>
      <c r="U958" s="115"/>
      <c r="V958" s="115"/>
      <c r="W958" s="115"/>
      <c r="X958" s="115"/>
      <c r="Y958" s="115"/>
      <c r="Z958" s="115"/>
    </row>
    <row r="959" spans="1:26" ht="15.75" customHeight="1" x14ac:dyDescent="0.25">
      <c r="A959" s="115"/>
      <c r="B959" s="115"/>
      <c r="C959" s="115"/>
      <c r="D959" s="115"/>
      <c r="E959" s="115"/>
      <c r="F959" s="115"/>
      <c r="G959" s="115"/>
      <c r="H959" s="115"/>
      <c r="I959" s="115"/>
      <c r="J959" s="115"/>
      <c r="K959" s="115"/>
      <c r="L959" s="115"/>
      <c r="M959" s="115"/>
      <c r="N959" s="115"/>
      <c r="O959" s="115"/>
      <c r="P959" s="115"/>
      <c r="Q959" s="115"/>
      <c r="R959" s="115"/>
      <c r="S959" s="115"/>
      <c r="T959" s="115"/>
      <c r="U959" s="115"/>
      <c r="V959" s="115"/>
      <c r="W959" s="115"/>
      <c r="X959" s="115"/>
      <c r="Y959" s="115"/>
      <c r="Z959" s="115"/>
    </row>
    <row r="960" spans="1:26" ht="15.75" customHeight="1" x14ac:dyDescent="0.25">
      <c r="A960" s="115"/>
      <c r="B960" s="115"/>
      <c r="C960" s="115"/>
      <c r="D960" s="115"/>
      <c r="E960" s="115"/>
      <c r="F960" s="115"/>
      <c r="G960" s="115"/>
      <c r="H960" s="115"/>
      <c r="I960" s="115"/>
      <c r="J960" s="115"/>
      <c r="K960" s="115"/>
      <c r="L960" s="115"/>
      <c r="M960" s="115"/>
      <c r="N960" s="115"/>
      <c r="O960" s="115"/>
      <c r="P960" s="115"/>
      <c r="Q960" s="115"/>
      <c r="R960" s="115"/>
      <c r="S960" s="115"/>
      <c r="T960" s="115"/>
      <c r="U960" s="115"/>
      <c r="V960" s="115"/>
      <c r="W960" s="115"/>
      <c r="X960" s="115"/>
      <c r="Y960" s="115"/>
      <c r="Z960" s="115"/>
    </row>
    <row r="961" spans="1:26" ht="15.75" customHeight="1" x14ac:dyDescent="0.25">
      <c r="A961" s="115"/>
      <c r="B961" s="115"/>
      <c r="C961" s="115"/>
      <c r="D961" s="115"/>
      <c r="E961" s="115"/>
      <c r="F961" s="115"/>
      <c r="G961" s="115"/>
      <c r="H961" s="115"/>
      <c r="I961" s="115"/>
      <c r="J961" s="115"/>
      <c r="K961" s="115"/>
      <c r="L961" s="115"/>
      <c r="M961" s="115"/>
      <c r="N961" s="115"/>
      <c r="O961" s="115"/>
      <c r="P961" s="115"/>
      <c r="Q961" s="115"/>
      <c r="R961" s="115"/>
      <c r="S961" s="115"/>
      <c r="T961" s="115"/>
      <c r="U961" s="115"/>
      <c r="V961" s="115"/>
      <c r="W961" s="115"/>
      <c r="X961" s="115"/>
      <c r="Y961" s="115"/>
      <c r="Z961" s="115"/>
    </row>
    <row r="962" spans="1:26" ht="15.75" customHeight="1" x14ac:dyDescent="0.25">
      <c r="A962" s="115"/>
      <c r="B962" s="115"/>
      <c r="C962" s="115"/>
      <c r="D962" s="115"/>
      <c r="E962" s="115"/>
      <c r="F962" s="115"/>
      <c r="G962" s="115"/>
      <c r="H962" s="115"/>
      <c r="I962" s="115"/>
      <c r="J962" s="115"/>
      <c r="K962" s="115"/>
      <c r="L962" s="115"/>
      <c r="M962" s="115"/>
      <c r="N962" s="115"/>
      <c r="O962" s="115"/>
      <c r="P962" s="115"/>
      <c r="Q962" s="115"/>
      <c r="R962" s="115"/>
      <c r="S962" s="115"/>
      <c r="T962" s="115"/>
      <c r="U962" s="115"/>
      <c r="V962" s="115"/>
      <c r="W962" s="115"/>
      <c r="X962" s="115"/>
      <c r="Y962" s="115"/>
      <c r="Z962" s="115"/>
    </row>
    <row r="963" spans="1:26" ht="15.75" customHeight="1" x14ac:dyDescent="0.25">
      <c r="A963" s="115"/>
      <c r="B963" s="115"/>
      <c r="C963" s="115"/>
      <c r="D963" s="115"/>
      <c r="E963" s="115"/>
      <c r="F963" s="115"/>
      <c r="G963" s="115"/>
      <c r="H963" s="115"/>
      <c r="I963" s="115"/>
      <c r="J963" s="115"/>
      <c r="K963" s="115"/>
      <c r="L963" s="115"/>
      <c r="M963" s="115"/>
      <c r="N963" s="115"/>
      <c r="O963" s="115"/>
      <c r="P963" s="115"/>
      <c r="Q963" s="115"/>
      <c r="R963" s="115"/>
      <c r="S963" s="115"/>
      <c r="T963" s="115"/>
      <c r="U963" s="115"/>
      <c r="V963" s="115"/>
      <c r="W963" s="115"/>
      <c r="X963" s="115"/>
      <c r="Y963" s="115"/>
      <c r="Z963" s="115"/>
    </row>
    <row r="964" spans="1:26" ht="15.75" customHeight="1" x14ac:dyDescent="0.25">
      <c r="A964" s="115"/>
      <c r="B964" s="115"/>
      <c r="C964" s="115"/>
      <c r="D964" s="115"/>
      <c r="E964" s="115"/>
      <c r="F964" s="115"/>
      <c r="G964" s="115"/>
      <c r="H964" s="115"/>
      <c r="I964" s="115"/>
      <c r="J964" s="115"/>
      <c r="K964" s="115"/>
      <c r="L964" s="115"/>
      <c r="M964" s="115"/>
      <c r="N964" s="115"/>
      <c r="O964" s="115"/>
      <c r="P964" s="115"/>
      <c r="Q964" s="115"/>
      <c r="R964" s="115"/>
      <c r="S964" s="115"/>
      <c r="T964" s="115"/>
      <c r="U964" s="115"/>
      <c r="V964" s="115"/>
      <c r="W964" s="115"/>
      <c r="X964" s="115"/>
      <c r="Y964" s="115"/>
      <c r="Z964" s="115"/>
    </row>
    <row r="965" spans="1:26" ht="15.75" customHeight="1" x14ac:dyDescent="0.25">
      <c r="A965" s="115"/>
      <c r="B965" s="115"/>
      <c r="C965" s="115"/>
      <c r="D965" s="115"/>
      <c r="E965" s="115"/>
      <c r="F965" s="115"/>
      <c r="G965" s="115"/>
      <c r="H965" s="115"/>
      <c r="I965" s="115"/>
      <c r="J965" s="115"/>
      <c r="K965" s="115"/>
      <c r="L965" s="115"/>
      <c r="M965" s="115"/>
      <c r="N965" s="115"/>
      <c r="O965" s="115"/>
      <c r="P965" s="115"/>
      <c r="Q965" s="115"/>
      <c r="R965" s="115"/>
      <c r="S965" s="115"/>
      <c r="T965" s="115"/>
      <c r="U965" s="115"/>
      <c r="V965" s="115"/>
      <c r="W965" s="115"/>
      <c r="X965" s="115"/>
      <c r="Y965" s="115"/>
      <c r="Z965" s="115"/>
    </row>
    <row r="966" spans="1:26" ht="15.75" customHeight="1" x14ac:dyDescent="0.25">
      <c r="A966" s="115"/>
      <c r="B966" s="115"/>
      <c r="C966" s="115"/>
      <c r="D966" s="115"/>
      <c r="E966" s="115"/>
      <c r="F966" s="115"/>
      <c r="G966" s="115"/>
      <c r="H966" s="115"/>
      <c r="I966" s="115"/>
      <c r="J966" s="115"/>
      <c r="K966" s="115"/>
      <c r="L966" s="115"/>
      <c r="M966" s="115"/>
      <c r="N966" s="115"/>
      <c r="O966" s="115"/>
      <c r="P966" s="115"/>
      <c r="Q966" s="115"/>
      <c r="R966" s="115"/>
      <c r="S966" s="115"/>
      <c r="T966" s="115"/>
      <c r="U966" s="115"/>
      <c r="V966" s="115"/>
      <c r="W966" s="115"/>
      <c r="X966" s="115"/>
      <c r="Y966" s="115"/>
      <c r="Z966" s="115"/>
    </row>
    <row r="967" spans="1:26" ht="15.75" customHeight="1" x14ac:dyDescent="0.25">
      <c r="A967" s="115"/>
      <c r="B967" s="115"/>
      <c r="C967" s="115"/>
      <c r="D967" s="115"/>
      <c r="E967" s="115"/>
      <c r="F967" s="115"/>
      <c r="G967" s="115"/>
      <c r="H967" s="115"/>
      <c r="I967" s="115"/>
      <c r="J967" s="115"/>
      <c r="K967" s="115"/>
      <c r="L967" s="115"/>
      <c r="M967" s="115"/>
      <c r="N967" s="115"/>
      <c r="O967" s="115"/>
      <c r="P967" s="115"/>
      <c r="Q967" s="115"/>
      <c r="R967" s="115"/>
      <c r="S967" s="115"/>
      <c r="T967" s="115"/>
      <c r="U967" s="115"/>
      <c r="V967" s="115"/>
      <c r="W967" s="115"/>
      <c r="X967" s="115"/>
      <c r="Y967" s="115"/>
      <c r="Z967" s="115"/>
    </row>
    <row r="968" spans="1:26" ht="15.75" customHeight="1" x14ac:dyDescent="0.25">
      <c r="A968" s="115"/>
      <c r="B968" s="115"/>
      <c r="C968" s="115"/>
      <c r="D968" s="115"/>
      <c r="E968" s="115"/>
      <c r="F968" s="115"/>
      <c r="G968" s="115"/>
      <c r="H968" s="115"/>
      <c r="I968" s="115"/>
      <c r="J968" s="115"/>
      <c r="K968" s="115"/>
      <c r="L968" s="115"/>
      <c r="M968" s="115"/>
      <c r="N968" s="115"/>
      <c r="O968" s="115"/>
      <c r="P968" s="115"/>
      <c r="Q968" s="115"/>
      <c r="R968" s="115"/>
      <c r="S968" s="115"/>
      <c r="T968" s="115"/>
      <c r="U968" s="115"/>
      <c r="V968" s="115"/>
      <c r="W968" s="115"/>
      <c r="X968" s="115"/>
      <c r="Y968" s="115"/>
      <c r="Z968" s="115"/>
    </row>
    <row r="969" spans="1:26" ht="15.75" customHeight="1" x14ac:dyDescent="0.25">
      <c r="A969" s="115"/>
      <c r="B969" s="115"/>
      <c r="C969" s="115"/>
      <c r="D969" s="115"/>
      <c r="E969" s="115"/>
      <c r="F969" s="115"/>
      <c r="G969" s="115"/>
      <c r="H969" s="115"/>
      <c r="I969" s="115"/>
      <c r="J969" s="115"/>
      <c r="K969" s="115"/>
      <c r="L969" s="115"/>
      <c r="M969" s="115"/>
      <c r="N969" s="115"/>
      <c r="O969" s="115"/>
      <c r="P969" s="115"/>
      <c r="Q969" s="115"/>
      <c r="R969" s="115"/>
      <c r="S969" s="115"/>
      <c r="T969" s="115"/>
      <c r="U969" s="115"/>
      <c r="V969" s="115"/>
      <c r="W969" s="115"/>
      <c r="X969" s="115"/>
      <c r="Y969" s="115"/>
      <c r="Z969" s="115"/>
    </row>
    <row r="970" spans="1:26" ht="15.75" customHeight="1" x14ac:dyDescent="0.25">
      <c r="A970" s="115"/>
      <c r="B970" s="115"/>
      <c r="C970" s="115"/>
      <c r="D970" s="115"/>
      <c r="E970" s="115"/>
      <c r="F970" s="115"/>
      <c r="G970" s="115"/>
      <c r="H970" s="115"/>
      <c r="I970" s="115"/>
      <c r="J970" s="115"/>
      <c r="K970" s="115"/>
      <c r="L970" s="115"/>
      <c r="M970" s="115"/>
      <c r="N970" s="115"/>
      <c r="O970" s="115"/>
      <c r="P970" s="115"/>
      <c r="Q970" s="115"/>
      <c r="R970" s="115"/>
      <c r="S970" s="115"/>
      <c r="T970" s="115"/>
      <c r="U970" s="115"/>
      <c r="V970" s="115"/>
      <c r="W970" s="115"/>
      <c r="X970" s="115"/>
      <c r="Y970" s="115"/>
      <c r="Z970" s="115"/>
    </row>
    <row r="971" spans="1:26" ht="15.75" customHeight="1" x14ac:dyDescent="0.25">
      <c r="A971" s="115"/>
      <c r="B971" s="115"/>
      <c r="C971" s="115"/>
      <c r="D971" s="115"/>
      <c r="E971" s="115"/>
      <c r="F971" s="115"/>
      <c r="G971" s="115"/>
      <c r="H971" s="115"/>
      <c r="I971" s="115"/>
      <c r="J971" s="115"/>
      <c r="K971" s="115"/>
      <c r="L971" s="115"/>
      <c r="M971" s="115"/>
      <c r="N971" s="115"/>
      <c r="O971" s="115"/>
      <c r="P971" s="115"/>
      <c r="Q971" s="115"/>
      <c r="R971" s="115"/>
      <c r="S971" s="115"/>
      <c r="T971" s="115"/>
      <c r="U971" s="115"/>
      <c r="V971" s="115"/>
      <c r="W971" s="115"/>
      <c r="X971" s="115"/>
      <c r="Y971" s="115"/>
      <c r="Z971" s="115"/>
    </row>
    <row r="972" spans="1:26" ht="15.75" customHeight="1" x14ac:dyDescent="0.25">
      <c r="A972" s="115"/>
      <c r="B972" s="115"/>
      <c r="C972" s="115"/>
      <c r="D972" s="115"/>
      <c r="E972" s="115"/>
      <c r="F972" s="115"/>
      <c r="G972" s="115"/>
      <c r="H972" s="115"/>
      <c r="I972" s="115"/>
      <c r="J972" s="115"/>
      <c r="K972" s="115"/>
      <c r="L972" s="115"/>
      <c r="M972" s="115"/>
      <c r="N972" s="115"/>
      <c r="O972" s="115"/>
      <c r="P972" s="115"/>
      <c r="Q972" s="115"/>
      <c r="R972" s="115"/>
      <c r="S972" s="115"/>
      <c r="T972" s="115"/>
      <c r="U972" s="115"/>
      <c r="V972" s="115"/>
      <c r="W972" s="115"/>
      <c r="X972" s="115"/>
      <c r="Y972" s="115"/>
      <c r="Z972" s="115"/>
    </row>
    <row r="973" spans="1:26" ht="15.75" customHeight="1" x14ac:dyDescent="0.25">
      <c r="A973" s="115"/>
      <c r="B973" s="115"/>
      <c r="C973" s="115"/>
      <c r="D973" s="115"/>
      <c r="E973" s="115"/>
      <c r="F973" s="115"/>
      <c r="G973" s="115"/>
      <c r="H973" s="115"/>
      <c r="I973" s="115"/>
      <c r="J973" s="115"/>
      <c r="K973" s="115"/>
      <c r="L973" s="115"/>
      <c r="M973" s="115"/>
      <c r="N973" s="115"/>
      <c r="O973" s="115"/>
      <c r="P973" s="115"/>
      <c r="Q973" s="115"/>
      <c r="R973" s="115"/>
      <c r="S973" s="115"/>
      <c r="T973" s="115"/>
      <c r="U973" s="115"/>
      <c r="V973" s="115"/>
      <c r="W973" s="115"/>
      <c r="X973" s="115"/>
      <c r="Y973" s="115"/>
      <c r="Z973" s="115"/>
    </row>
    <row r="974" spans="1:26" ht="15.75" customHeight="1" x14ac:dyDescent="0.25">
      <c r="A974" s="115"/>
      <c r="B974" s="115"/>
      <c r="C974" s="115"/>
      <c r="D974" s="115"/>
      <c r="E974" s="115"/>
      <c r="F974" s="115"/>
      <c r="G974" s="115"/>
      <c r="H974" s="115"/>
      <c r="I974" s="115"/>
      <c r="J974" s="115"/>
      <c r="K974" s="115"/>
      <c r="L974" s="115"/>
      <c r="M974" s="115"/>
      <c r="N974" s="115"/>
      <c r="O974" s="115"/>
      <c r="P974" s="115"/>
      <c r="Q974" s="115"/>
      <c r="R974" s="115"/>
      <c r="S974" s="115"/>
      <c r="T974" s="115"/>
      <c r="U974" s="115"/>
      <c r="V974" s="115"/>
      <c r="W974" s="115"/>
      <c r="X974" s="115"/>
      <c r="Y974" s="115"/>
      <c r="Z974" s="115"/>
    </row>
    <row r="975" spans="1:26" ht="15.75" customHeight="1" x14ac:dyDescent="0.25">
      <c r="A975" s="115"/>
      <c r="B975" s="115"/>
      <c r="C975" s="115"/>
      <c r="D975" s="115"/>
      <c r="E975" s="115"/>
      <c r="F975" s="115"/>
      <c r="G975" s="115"/>
      <c r="H975" s="115"/>
      <c r="I975" s="115"/>
      <c r="J975" s="115"/>
      <c r="K975" s="115"/>
      <c r="L975" s="115"/>
      <c r="M975" s="115"/>
      <c r="N975" s="115"/>
      <c r="O975" s="115"/>
      <c r="P975" s="115"/>
      <c r="Q975" s="115"/>
      <c r="R975" s="115"/>
      <c r="S975" s="115"/>
      <c r="T975" s="115"/>
      <c r="U975" s="115"/>
      <c r="V975" s="115"/>
      <c r="W975" s="115"/>
      <c r="X975" s="115"/>
      <c r="Y975" s="115"/>
      <c r="Z975" s="115"/>
    </row>
    <row r="976" spans="1:26" ht="15.75" customHeight="1" x14ac:dyDescent="0.25">
      <c r="A976" s="115"/>
      <c r="B976" s="115"/>
      <c r="C976" s="115"/>
      <c r="D976" s="115"/>
      <c r="E976" s="115"/>
      <c r="F976" s="115"/>
      <c r="G976" s="115"/>
      <c r="H976" s="115"/>
      <c r="I976" s="115"/>
      <c r="J976" s="115"/>
      <c r="K976" s="115"/>
      <c r="L976" s="115"/>
      <c r="M976" s="115"/>
      <c r="N976" s="115"/>
      <c r="O976" s="115"/>
      <c r="P976" s="115"/>
      <c r="Q976" s="115"/>
      <c r="R976" s="115"/>
      <c r="S976" s="115"/>
      <c r="T976" s="115"/>
      <c r="U976" s="115"/>
      <c r="V976" s="115"/>
      <c r="W976" s="115"/>
      <c r="X976" s="115"/>
      <c r="Y976" s="115"/>
      <c r="Z976" s="115"/>
    </row>
    <row r="977" spans="1:26" ht="15.75" customHeight="1" x14ac:dyDescent="0.25">
      <c r="A977" s="115"/>
      <c r="B977" s="115"/>
      <c r="C977" s="115"/>
      <c r="D977" s="115"/>
      <c r="E977" s="115"/>
      <c r="F977" s="115"/>
      <c r="G977" s="115"/>
      <c r="H977" s="115"/>
      <c r="I977" s="115"/>
      <c r="J977" s="115"/>
      <c r="K977" s="115"/>
      <c r="L977" s="115"/>
      <c r="M977" s="115"/>
      <c r="N977" s="115"/>
      <c r="O977" s="115"/>
      <c r="P977" s="115"/>
      <c r="Q977" s="115"/>
      <c r="R977" s="115"/>
      <c r="S977" s="115"/>
      <c r="T977" s="115"/>
      <c r="U977" s="115"/>
      <c r="V977" s="115"/>
      <c r="W977" s="115"/>
      <c r="X977" s="115"/>
      <c r="Y977" s="115"/>
      <c r="Z977" s="115"/>
    </row>
    <row r="978" spans="1:26" ht="15.75" customHeight="1" x14ac:dyDescent="0.25">
      <c r="A978" s="115"/>
      <c r="B978" s="115"/>
      <c r="C978" s="115"/>
      <c r="D978" s="115"/>
      <c r="E978" s="115"/>
      <c r="F978" s="115"/>
      <c r="G978" s="115"/>
      <c r="H978" s="115"/>
      <c r="I978" s="115"/>
      <c r="J978" s="115"/>
      <c r="K978" s="115"/>
      <c r="L978" s="115"/>
      <c r="M978" s="115"/>
      <c r="N978" s="115"/>
      <c r="O978" s="115"/>
      <c r="P978" s="115"/>
      <c r="Q978" s="115"/>
      <c r="R978" s="115"/>
      <c r="S978" s="115"/>
      <c r="T978" s="115"/>
      <c r="U978" s="115"/>
      <c r="V978" s="115"/>
      <c r="W978" s="115"/>
      <c r="X978" s="115"/>
      <c r="Y978" s="115"/>
      <c r="Z978" s="115"/>
    </row>
    <row r="979" spans="1:26" ht="15.75" customHeight="1" x14ac:dyDescent="0.25">
      <c r="A979" s="115"/>
      <c r="B979" s="115"/>
      <c r="C979" s="115"/>
      <c r="D979" s="115"/>
      <c r="E979" s="115"/>
      <c r="F979" s="115"/>
      <c r="G979" s="115"/>
      <c r="H979" s="115"/>
      <c r="I979" s="115"/>
      <c r="J979" s="115"/>
      <c r="K979" s="115"/>
      <c r="L979" s="115"/>
      <c r="M979" s="115"/>
      <c r="N979" s="115"/>
      <c r="O979" s="115"/>
      <c r="P979" s="115"/>
      <c r="Q979" s="115"/>
      <c r="R979" s="115"/>
      <c r="S979" s="115"/>
      <c r="T979" s="115"/>
      <c r="U979" s="115"/>
      <c r="V979" s="115"/>
      <c r="W979" s="115"/>
      <c r="X979" s="115"/>
      <c r="Y979" s="115"/>
      <c r="Z979" s="115"/>
    </row>
    <row r="980" spans="1:26" ht="15.75" customHeight="1" x14ac:dyDescent="0.25">
      <c r="A980" s="115"/>
      <c r="B980" s="115"/>
      <c r="C980" s="115"/>
      <c r="D980" s="115"/>
      <c r="E980" s="115"/>
      <c r="F980" s="115"/>
      <c r="G980" s="115"/>
      <c r="H980" s="115"/>
      <c r="I980" s="115"/>
      <c r="J980" s="115"/>
      <c r="K980" s="115"/>
      <c r="L980" s="115"/>
      <c r="M980" s="115"/>
      <c r="N980" s="115"/>
      <c r="O980" s="115"/>
      <c r="P980" s="115"/>
      <c r="Q980" s="115"/>
      <c r="R980" s="115"/>
      <c r="S980" s="115"/>
      <c r="T980" s="115"/>
      <c r="U980" s="115"/>
      <c r="V980" s="115"/>
      <c r="W980" s="115"/>
      <c r="X980" s="115"/>
      <c r="Y980" s="115"/>
      <c r="Z980" s="115"/>
    </row>
    <row r="981" spans="1:26" ht="15.75" customHeight="1" x14ac:dyDescent="0.25">
      <c r="A981" s="115"/>
      <c r="B981" s="115"/>
      <c r="C981" s="115"/>
      <c r="D981" s="115"/>
      <c r="E981" s="115"/>
      <c r="F981" s="115"/>
      <c r="G981" s="115"/>
      <c r="H981" s="115"/>
      <c r="I981" s="115"/>
      <c r="J981" s="115"/>
      <c r="K981" s="115"/>
      <c r="L981" s="115"/>
      <c r="M981" s="115"/>
      <c r="N981" s="115"/>
      <c r="O981" s="115"/>
      <c r="P981" s="115"/>
      <c r="Q981" s="115"/>
      <c r="R981" s="115"/>
      <c r="S981" s="115"/>
      <c r="T981" s="115"/>
      <c r="U981" s="115"/>
      <c r="V981" s="115"/>
      <c r="W981" s="115"/>
      <c r="X981" s="115"/>
      <c r="Y981" s="115"/>
      <c r="Z981" s="115"/>
    </row>
    <row r="982" spans="1:26" ht="15.75" customHeight="1" x14ac:dyDescent="0.25">
      <c r="A982" s="115"/>
      <c r="B982" s="115"/>
      <c r="C982" s="115"/>
      <c r="D982" s="115"/>
      <c r="E982" s="115"/>
      <c r="F982" s="115"/>
      <c r="G982" s="115"/>
      <c r="H982" s="115"/>
      <c r="I982" s="115"/>
      <c r="J982" s="115"/>
      <c r="K982" s="115"/>
      <c r="L982" s="115"/>
      <c r="M982" s="115"/>
      <c r="N982" s="115"/>
      <c r="O982" s="115"/>
      <c r="P982" s="115"/>
      <c r="Q982" s="115"/>
      <c r="R982" s="115"/>
      <c r="S982" s="115"/>
      <c r="T982" s="115"/>
      <c r="U982" s="115"/>
      <c r="V982" s="115"/>
      <c r="W982" s="115"/>
      <c r="X982" s="115"/>
      <c r="Y982" s="115"/>
      <c r="Z982" s="115"/>
    </row>
    <row r="983" spans="1:26" ht="15.75" customHeight="1" x14ac:dyDescent="0.25">
      <c r="A983" s="115"/>
      <c r="B983" s="115"/>
      <c r="C983" s="115"/>
      <c r="D983" s="115"/>
      <c r="E983" s="115"/>
      <c r="F983" s="115"/>
      <c r="G983" s="115"/>
      <c r="H983" s="115"/>
      <c r="I983" s="115"/>
      <c r="J983" s="115"/>
      <c r="K983" s="115"/>
      <c r="L983" s="115"/>
      <c r="M983" s="115"/>
      <c r="N983" s="115"/>
      <c r="O983" s="115"/>
      <c r="P983" s="115"/>
      <c r="Q983" s="115"/>
      <c r="R983" s="115"/>
      <c r="S983" s="115"/>
      <c r="T983" s="115"/>
      <c r="U983" s="115"/>
      <c r="V983" s="115"/>
      <c r="W983" s="115"/>
      <c r="X983" s="115"/>
      <c r="Y983" s="115"/>
      <c r="Z983" s="115"/>
    </row>
    <row r="984" spans="1:26" ht="15.75" customHeight="1" x14ac:dyDescent="0.25">
      <c r="A984" s="115"/>
      <c r="B984" s="115"/>
      <c r="C984" s="115"/>
      <c r="D984" s="115"/>
      <c r="E984" s="115"/>
      <c r="F984" s="115"/>
      <c r="G984" s="115"/>
      <c r="H984" s="115"/>
      <c r="I984" s="115"/>
      <c r="J984" s="115"/>
      <c r="K984" s="115"/>
      <c r="L984" s="115"/>
      <c r="M984" s="115"/>
      <c r="N984" s="115"/>
      <c r="O984" s="115"/>
      <c r="P984" s="115"/>
      <c r="Q984" s="115"/>
      <c r="R984" s="115"/>
      <c r="S984" s="115"/>
      <c r="T984" s="115"/>
      <c r="U984" s="115"/>
      <c r="V984" s="115"/>
      <c r="W984" s="115"/>
      <c r="X984" s="115"/>
      <c r="Y984" s="115"/>
      <c r="Z984" s="115"/>
    </row>
    <row r="985" spans="1:26" ht="15.75" customHeight="1" x14ac:dyDescent="0.25">
      <c r="A985" s="115"/>
      <c r="B985" s="115"/>
      <c r="C985" s="115"/>
      <c r="D985" s="115"/>
      <c r="E985" s="115"/>
      <c r="F985" s="115"/>
      <c r="G985" s="115"/>
      <c r="H985" s="115"/>
      <c r="I985" s="115"/>
      <c r="J985" s="115"/>
      <c r="K985" s="115"/>
      <c r="L985" s="115"/>
      <c r="M985" s="115"/>
      <c r="N985" s="115"/>
      <c r="O985" s="115"/>
      <c r="P985" s="115"/>
      <c r="Q985" s="115"/>
      <c r="R985" s="115"/>
      <c r="S985" s="115"/>
      <c r="T985" s="115"/>
      <c r="U985" s="115"/>
      <c r="V985" s="115"/>
      <c r="W985" s="115"/>
      <c r="X985" s="115"/>
      <c r="Y985" s="115"/>
      <c r="Z985" s="115"/>
    </row>
    <row r="986" spans="1:26" ht="15.75" customHeight="1" x14ac:dyDescent="0.25">
      <c r="A986" s="115"/>
      <c r="B986" s="115"/>
      <c r="C986" s="115"/>
      <c r="D986" s="115"/>
      <c r="E986" s="115"/>
      <c r="F986" s="115"/>
      <c r="G986" s="115"/>
      <c r="H986" s="115"/>
      <c r="I986" s="115"/>
      <c r="J986" s="115"/>
      <c r="K986" s="115"/>
      <c r="L986" s="115"/>
      <c r="M986" s="115"/>
      <c r="N986" s="115"/>
      <c r="O986" s="115"/>
      <c r="P986" s="115"/>
      <c r="Q986" s="115"/>
      <c r="R986" s="115"/>
      <c r="S986" s="115"/>
      <c r="T986" s="115"/>
      <c r="U986" s="115"/>
      <c r="V986" s="115"/>
      <c r="W986" s="115"/>
      <c r="X986" s="115"/>
      <c r="Y986" s="115"/>
      <c r="Z986" s="115"/>
    </row>
    <row r="987" spans="1:26" ht="15.75" customHeight="1" x14ac:dyDescent="0.25">
      <c r="A987" s="115"/>
      <c r="B987" s="115"/>
      <c r="C987" s="115"/>
      <c r="D987" s="115"/>
      <c r="E987" s="115"/>
      <c r="F987" s="115"/>
      <c r="G987" s="115"/>
      <c r="H987" s="115"/>
      <c r="I987" s="115"/>
      <c r="J987" s="115"/>
      <c r="K987" s="115"/>
      <c r="L987" s="115"/>
      <c r="M987" s="115"/>
      <c r="N987" s="115"/>
      <c r="O987" s="115"/>
      <c r="P987" s="115"/>
      <c r="Q987" s="115"/>
      <c r="R987" s="115"/>
      <c r="S987" s="115"/>
      <c r="T987" s="115"/>
      <c r="U987" s="115"/>
      <c r="V987" s="115"/>
      <c r="W987" s="115"/>
      <c r="X987" s="115"/>
      <c r="Y987" s="115"/>
      <c r="Z987" s="115"/>
    </row>
    <row r="988" spans="1:26" ht="15.75" customHeight="1" x14ac:dyDescent="0.25">
      <c r="A988" s="115"/>
      <c r="B988" s="115"/>
      <c r="C988" s="115"/>
      <c r="D988" s="115"/>
      <c r="E988" s="115"/>
      <c r="F988" s="115"/>
      <c r="G988" s="115"/>
      <c r="H988" s="115"/>
      <c r="I988" s="115"/>
      <c r="J988" s="115"/>
      <c r="K988" s="115"/>
      <c r="L988" s="115"/>
      <c r="M988" s="115"/>
      <c r="N988" s="115"/>
      <c r="O988" s="115"/>
      <c r="P988" s="115"/>
      <c r="Q988" s="115"/>
      <c r="R988" s="115"/>
      <c r="S988" s="115"/>
      <c r="T988" s="115"/>
      <c r="U988" s="115"/>
      <c r="V988" s="115"/>
      <c r="W988" s="115"/>
      <c r="X988" s="115"/>
      <c r="Y988" s="115"/>
      <c r="Z988" s="115"/>
    </row>
    <row r="989" spans="1:26" ht="15.75" customHeight="1" x14ac:dyDescent="0.25">
      <c r="A989" s="115"/>
      <c r="B989" s="115"/>
      <c r="C989" s="115"/>
      <c r="D989" s="115"/>
      <c r="E989" s="115"/>
      <c r="F989" s="115"/>
      <c r="G989" s="115"/>
      <c r="H989" s="115"/>
      <c r="I989" s="115"/>
      <c r="J989" s="115"/>
      <c r="K989" s="115"/>
      <c r="L989" s="115"/>
      <c r="M989" s="115"/>
      <c r="N989" s="115"/>
      <c r="O989" s="115"/>
      <c r="P989" s="115"/>
      <c r="Q989" s="115"/>
      <c r="R989" s="115"/>
      <c r="S989" s="115"/>
      <c r="T989" s="115"/>
      <c r="U989" s="115"/>
      <c r="V989" s="115"/>
      <c r="W989" s="115"/>
      <c r="X989" s="115"/>
      <c r="Y989" s="115"/>
      <c r="Z989" s="115"/>
    </row>
    <row r="990" spans="1:26" ht="15.75" customHeight="1" x14ac:dyDescent="0.25">
      <c r="A990" s="115"/>
      <c r="B990" s="115"/>
      <c r="C990" s="115"/>
      <c r="D990" s="115"/>
      <c r="E990" s="115"/>
      <c r="F990" s="115"/>
      <c r="G990" s="115"/>
      <c r="H990" s="115"/>
      <c r="I990" s="115"/>
      <c r="J990" s="115"/>
      <c r="K990" s="115"/>
      <c r="L990" s="115"/>
      <c r="M990" s="115"/>
      <c r="N990" s="115"/>
      <c r="O990" s="115"/>
      <c r="P990" s="115"/>
      <c r="Q990" s="115"/>
      <c r="R990" s="115"/>
      <c r="S990" s="115"/>
      <c r="T990" s="115"/>
      <c r="U990" s="115"/>
      <c r="V990" s="115"/>
      <c r="W990" s="115"/>
      <c r="X990" s="115"/>
      <c r="Y990" s="115"/>
      <c r="Z990" s="115"/>
    </row>
    <row r="991" spans="1:26" ht="15.75" customHeight="1" x14ac:dyDescent="0.25">
      <c r="A991" s="115"/>
      <c r="B991" s="115"/>
      <c r="C991" s="115"/>
      <c r="D991" s="115"/>
      <c r="E991" s="115"/>
      <c r="F991" s="115"/>
      <c r="G991" s="115"/>
      <c r="H991" s="115"/>
      <c r="I991" s="115"/>
      <c r="J991" s="115"/>
      <c r="K991" s="115"/>
      <c r="L991" s="115"/>
      <c r="M991" s="115"/>
      <c r="N991" s="115"/>
      <c r="O991" s="115"/>
      <c r="P991" s="115"/>
      <c r="Q991" s="115"/>
      <c r="R991" s="115"/>
      <c r="S991" s="115"/>
      <c r="T991" s="115"/>
      <c r="U991" s="115"/>
      <c r="V991" s="115"/>
      <c r="W991" s="115"/>
      <c r="X991" s="115"/>
      <c r="Y991" s="115"/>
      <c r="Z991" s="115"/>
    </row>
    <row r="992" spans="1:26" ht="15.75" customHeight="1" x14ac:dyDescent="0.25">
      <c r="A992" s="115"/>
      <c r="B992" s="115"/>
      <c r="C992" s="115"/>
      <c r="D992" s="115"/>
      <c r="E992" s="115"/>
      <c r="F992" s="115"/>
      <c r="G992" s="115"/>
      <c r="H992" s="115"/>
      <c r="I992" s="115"/>
      <c r="J992" s="115"/>
      <c r="K992" s="115"/>
      <c r="L992" s="115"/>
      <c r="M992" s="115"/>
      <c r="N992" s="115"/>
      <c r="O992" s="115"/>
      <c r="P992" s="115"/>
      <c r="Q992" s="115"/>
      <c r="R992" s="115"/>
      <c r="S992" s="115"/>
      <c r="T992" s="115"/>
      <c r="U992" s="115"/>
      <c r="V992" s="115"/>
      <c r="W992" s="115"/>
      <c r="X992" s="115"/>
      <c r="Y992" s="115"/>
      <c r="Z992" s="115"/>
    </row>
    <row r="993" spans="1:26" ht="15.75" customHeight="1" x14ac:dyDescent="0.25">
      <c r="A993" s="115"/>
      <c r="B993" s="115"/>
      <c r="C993" s="115"/>
      <c r="D993" s="115"/>
      <c r="E993" s="115"/>
      <c r="F993" s="115"/>
      <c r="G993" s="115"/>
      <c r="H993" s="115"/>
      <c r="I993" s="115"/>
      <c r="J993" s="115"/>
      <c r="K993" s="115"/>
      <c r="L993" s="115"/>
      <c r="M993" s="115"/>
      <c r="N993" s="115"/>
      <c r="O993" s="115"/>
      <c r="P993" s="115"/>
      <c r="Q993" s="115"/>
      <c r="R993" s="115"/>
      <c r="S993" s="115"/>
      <c r="T993" s="115"/>
      <c r="U993" s="115"/>
      <c r="V993" s="115"/>
      <c r="W993" s="115"/>
      <c r="X993" s="115"/>
      <c r="Y993" s="115"/>
      <c r="Z993" s="115"/>
    </row>
    <row r="994" spans="1:26" ht="15.75" customHeight="1" x14ac:dyDescent="0.25">
      <c r="A994" s="115"/>
      <c r="B994" s="115"/>
      <c r="C994" s="115"/>
      <c r="D994" s="115"/>
      <c r="E994" s="115"/>
      <c r="F994" s="115"/>
      <c r="G994" s="115"/>
      <c r="H994" s="115"/>
      <c r="I994" s="115"/>
      <c r="J994" s="115"/>
      <c r="K994" s="115"/>
      <c r="L994" s="115"/>
      <c r="M994" s="115"/>
      <c r="N994" s="115"/>
      <c r="O994" s="115"/>
      <c r="P994" s="115"/>
      <c r="Q994" s="115"/>
      <c r="R994" s="115"/>
      <c r="S994" s="115"/>
      <c r="T994" s="115"/>
      <c r="U994" s="115"/>
      <c r="V994" s="115"/>
      <c r="W994" s="115"/>
      <c r="X994" s="115"/>
      <c r="Y994" s="115"/>
      <c r="Z994" s="115"/>
    </row>
    <row r="995" spans="1:26" ht="15.75" customHeight="1" x14ac:dyDescent="0.25">
      <c r="A995" s="115"/>
      <c r="B995" s="115"/>
      <c r="C995" s="115"/>
      <c r="D995" s="115"/>
      <c r="E995" s="115"/>
      <c r="F995" s="115"/>
      <c r="G995" s="115"/>
      <c r="H995" s="115"/>
      <c r="I995" s="115"/>
      <c r="J995" s="115"/>
      <c r="K995" s="115"/>
      <c r="L995" s="115"/>
      <c r="M995" s="115"/>
      <c r="N995" s="115"/>
      <c r="O995" s="115"/>
      <c r="P995" s="115"/>
      <c r="Q995" s="115"/>
      <c r="R995" s="115"/>
      <c r="S995" s="115"/>
      <c r="T995" s="115"/>
      <c r="U995" s="115"/>
      <c r="V995" s="115"/>
      <c r="W995" s="115"/>
      <c r="X995" s="115"/>
      <c r="Y995" s="115"/>
      <c r="Z995" s="115"/>
    </row>
    <row r="996" spans="1:26" ht="15.75" customHeight="1" x14ac:dyDescent="0.25">
      <c r="A996" s="115"/>
      <c r="B996" s="115"/>
      <c r="C996" s="115"/>
      <c r="D996" s="115"/>
      <c r="E996" s="115"/>
      <c r="F996" s="115"/>
      <c r="G996" s="115"/>
      <c r="H996" s="115"/>
      <c r="I996" s="115"/>
      <c r="J996" s="115"/>
      <c r="K996" s="115"/>
      <c r="L996" s="115"/>
      <c r="M996" s="115"/>
      <c r="N996" s="115"/>
      <c r="O996" s="115"/>
      <c r="P996" s="115"/>
      <c r="Q996" s="115"/>
      <c r="R996" s="115"/>
      <c r="S996" s="115"/>
      <c r="T996" s="115"/>
      <c r="U996" s="115"/>
      <c r="V996" s="115"/>
      <c r="W996" s="115"/>
      <c r="X996" s="115"/>
      <c r="Y996" s="115"/>
      <c r="Z996" s="115"/>
    </row>
    <row r="997" spans="1:26" ht="15.75" customHeight="1" x14ac:dyDescent="0.25">
      <c r="A997" s="115"/>
      <c r="B997" s="115"/>
      <c r="C997" s="115"/>
      <c r="D997" s="115"/>
      <c r="E997" s="115"/>
      <c r="F997" s="115"/>
      <c r="G997" s="115"/>
      <c r="H997" s="115"/>
      <c r="I997" s="115"/>
      <c r="J997" s="115"/>
      <c r="K997" s="115"/>
      <c r="L997" s="115"/>
      <c r="M997" s="115"/>
      <c r="N997" s="115"/>
      <c r="O997" s="115"/>
      <c r="P997" s="115"/>
      <c r="Q997" s="115"/>
      <c r="R997" s="115"/>
      <c r="S997" s="115"/>
      <c r="T997" s="115"/>
      <c r="U997" s="115"/>
      <c r="V997" s="115"/>
      <c r="W997" s="115"/>
      <c r="X997" s="115"/>
      <c r="Y997" s="115"/>
      <c r="Z997" s="115"/>
    </row>
  </sheetData>
  <mergeCells count="66">
    <mergeCell ref="B2:H2"/>
    <mergeCell ref="B4:H4"/>
    <mergeCell ref="B5:H5"/>
    <mergeCell ref="B7:H8"/>
    <mergeCell ref="C10:D10"/>
    <mergeCell ref="E10:F10"/>
    <mergeCell ref="C11:D11"/>
    <mergeCell ref="E11:F11"/>
    <mergeCell ref="C12:D12"/>
    <mergeCell ref="E12:F12"/>
    <mergeCell ref="C13:D13"/>
    <mergeCell ref="E13:F13"/>
    <mergeCell ref="C17:D17"/>
    <mergeCell ref="E17:F17"/>
    <mergeCell ref="C14:D14"/>
    <mergeCell ref="E14:F14"/>
    <mergeCell ref="C15:D15"/>
    <mergeCell ref="E15:F15"/>
    <mergeCell ref="C16:D16"/>
    <mergeCell ref="E16:F16"/>
    <mergeCell ref="C18:D18"/>
    <mergeCell ref="E18:F18"/>
    <mergeCell ref="C19:D19"/>
    <mergeCell ref="E19:F19"/>
    <mergeCell ref="C20:D20"/>
    <mergeCell ref="E20:F20"/>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9:D39"/>
    <mergeCell ref="E39:F39"/>
    <mergeCell ref="B41:H41"/>
    <mergeCell ref="B42:H42"/>
    <mergeCell ref="C37:D37"/>
    <mergeCell ref="E37:F37"/>
    <mergeCell ref="C38:D38"/>
    <mergeCell ref="E38:F38"/>
    <mergeCell ref="C21:D21"/>
    <mergeCell ref="C22:D22"/>
    <mergeCell ref="C23:D23"/>
    <mergeCell ref="C24:D24"/>
    <mergeCell ref="E21:F21"/>
    <mergeCell ref="E22:F22"/>
    <mergeCell ref="E23:F23"/>
    <mergeCell ref="E24:F24"/>
  </mergeCells>
  <pageMargins left="0.70866141732283472" right="0.70866141732283472" top="0.74803149606299213" bottom="0.74803149606299213" header="0" footer="0"/>
  <pageSetup scale="37" orientation="portrait" r:id="rId1"/>
  <headerFooter>
    <oddHeader>&amp;L&amp;G&amp;C
MATRIZ DE RIESGOS</oddHeader>
    <oddFooter>&amp;RCódigo:E-02-F-014
Versión: 5
Fecha: Ver Isolución</oddFooter>
  </headerFooter>
  <rowBreaks count="1" manualBreakCount="1">
    <brk id="42" max="16383" man="1"/>
  </rowBreaks>
  <colBreaks count="1" manualBreakCount="1">
    <brk id="8"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DE556-6229-41DE-94B3-C3E0D6E2746F}">
  <sheetPr>
    <tabColor rgb="FF00B050"/>
  </sheetPr>
  <dimension ref="A1:BI1000"/>
  <sheetViews>
    <sheetView showGridLines="0" zoomScale="55" zoomScaleNormal="55" workbookViewId="0">
      <selection activeCell="AD12" sqref="AD12:AE13"/>
    </sheetView>
  </sheetViews>
  <sheetFormatPr baseColWidth="10" defaultColWidth="12.625" defaultRowHeight="15" customHeight="1" x14ac:dyDescent="0.2"/>
  <cols>
    <col min="1" max="1" width="9.375" customWidth="1"/>
    <col min="2" max="39" width="5" customWidth="1"/>
    <col min="40" max="40" width="9.375" customWidth="1"/>
    <col min="41" max="46" width="5" customWidth="1"/>
    <col min="47" max="61" width="9.375" customWidth="1"/>
  </cols>
  <sheetData>
    <row r="1" spans="1:61" x14ac:dyDescent="0.25">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row>
    <row r="2" spans="1:61" ht="18" customHeight="1" x14ac:dyDescent="0.25">
      <c r="A2" s="115"/>
      <c r="B2" s="676" t="s">
        <v>0</v>
      </c>
      <c r="C2" s="670"/>
      <c r="D2" s="670"/>
      <c r="E2" s="670"/>
      <c r="F2" s="670"/>
      <c r="G2" s="670"/>
      <c r="H2" s="670"/>
      <c r="I2" s="670"/>
      <c r="J2" s="677" t="s">
        <v>1</v>
      </c>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4"/>
      <c r="AN2" s="115"/>
      <c r="AO2" s="115"/>
      <c r="AP2" s="115"/>
      <c r="AQ2" s="115"/>
      <c r="AR2" s="115"/>
      <c r="AS2" s="115"/>
      <c r="AT2" s="115"/>
      <c r="AU2" s="115"/>
      <c r="AV2" s="115"/>
      <c r="AW2" s="115"/>
      <c r="AX2" s="115"/>
      <c r="AY2" s="115"/>
      <c r="AZ2" s="115"/>
      <c r="BA2" s="115"/>
      <c r="BB2" s="115"/>
      <c r="BC2" s="115"/>
      <c r="BD2" s="115"/>
      <c r="BE2" s="115"/>
      <c r="BF2" s="115"/>
      <c r="BG2" s="115"/>
      <c r="BH2" s="115"/>
      <c r="BI2" s="115"/>
    </row>
    <row r="3" spans="1:61" ht="18.75" customHeight="1" x14ac:dyDescent="0.25">
      <c r="A3" s="115"/>
      <c r="B3" s="670"/>
      <c r="C3" s="670"/>
      <c r="D3" s="670"/>
      <c r="E3" s="670"/>
      <c r="F3" s="670"/>
      <c r="G3" s="670"/>
      <c r="H3" s="670"/>
      <c r="I3" s="670"/>
      <c r="J3" s="654"/>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54"/>
      <c r="AN3" s="115"/>
      <c r="AO3" s="115"/>
      <c r="AP3" s="115"/>
      <c r="AQ3" s="115"/>
      <c r="AR3" s="115"/>
      <c r="AS3" s="115"/>
      <c r="AT3" s="115"/>
      <c r="AU3" s="115"/>
      <c r="AV3" s="115"/>
      <c r="AW3" s="115"/>
      <c r="AX3" s="115"/>
      <c r="AY3" s="115"/>
      <c r="AZ3" s="115"/>
      <c r="BA3" s="115"/>
      <c r="BB3" s="115"/>
      <c r="BC3" s="115"/>
      <c r="BD3" s="115"/>
      <c r="BE3" s="115"/>
      <c r="BF3" s="115"/>
      <c r="BG3" s="115"/>
      <c r="BH3" s="115"/>
      <c r="BI3" s="115"/>
    </row>
    <row r="4" spans="1:61" ht="15" customHeight="1" x14ac:dyDescent="0.25">
      <c r="A4" s="115"/>
      <c r="B4" s="670"/>
      <c r="C4" s="670"/>
      <c r="D4" s="670"/>
      <c r="E4" s="670"/>
      <c r="F4" s="670"/>
      <c r="G4" s="670"/>
      <c r="H4" s="670"/>
      <c r="I4" s="670"/>
      <c r="J4" s="654"/>
      <c r="K4" s="654"/>
      <c r="L4" s="654"/>
      <c r="M4" s="654"/>
      <c r="N4" s="654"/>
      <c r="O4" s="654"/>
      <c r="P4" s="654"/>
      <c r="Q4" s="654"/>
      <c r="R4" s="654"/>
      <c r="S4" s="654"/>
      <c r="T4" s="654"/>
      <c r="U4" s="654"/>
      <c r="V4" s="654"/>
      <c r="W4" s="654"/>
      <c r="X4" s="654"/>
      <c r="Y4" s="654"/>
      <c r="Z4" s="654"/>
      <c r="AA4" s="654"/>
      <c r="AB4" s="654"/>
      <c r="AC4" s="654"/>
      <c r="AD4" s="654"/>
      <c r="AE4" s="654"/>
      <c r="AF4" s="654"/>
      <c r="AG4" s="654"/>
      <c r="AH4" s="654"/>
      <c r="AI4" s="654"/>
      <c r="AJ4" s="654"/>
      <c r="AK4" s="654"/>
      <c r="AL4" s="654"/>
      <c r="AM4" s="654"/>
      <c r="AN4" s="115"/>
      <c r="AO4" s="115"/>
      <c r="AP4" s="115"/>
      <c r="AQ4" s="115"/>
      <c r="AR4" s="115"/>
      <c r="AS4" s="115"/>
      <c r="AT4" s="115"/>
      <c r="AU4" s="115"/>
      <c r="AV4" s="115"/>
      <c r="AW4" s="115"/>
      <c r="AX4" s="115"/>
      <c r="AY4" s="115"/>
      <c r="AZ4" s="115"/>
      <c r="BA4" s="115"/>
      <c r="BB4" s="115"/>
      <c r="BC4" s="115"/>
      <c r="BD4" s="115"/>
      <c r="BE4" s="115"/>
      <c r="BF4" s="115"/>
      <c r="BG4" s="115"/>
      <c r="BH4" s="115"/>
      <c r="BI4" s="115"/>
    </row>
    <row r="5" spans="1:61" x14ac:dyDescent="0.25">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row>
    <row r="6" spans="1:61" x14ac:dyDescent="0.25">
      <c r="A6" s="115"/>
      <c r="B6" s="678" t="s">
        <v>2</v>
      </c>
      <c r="C6" s="654"/>
      <c r="D6" s="653"/>
      <c r="E6" s="669" t="s">
        <v>3</v>
      </c>
      <c r="F6" s="656"/>
      <c r="G6" s="656"/>
      <c r="H6" s="656"/>
      <c r="I6" s="657"/>
      <c r="J6" s="658" t="e">
        <f>IF(AND(#REF!="Muy Alta",#REF!="Leve"),CONCATENATE("R",#REF!),"")</f>
        <v>#REF!</v>
      </c>
      <c r="K6" s="656"/>
      <c r="L6" s="660" t="e">
        <f>IF(AND(#REF!="Muy Alta",#REF!="Leve"),CONCATENATE("R",#REF!),"")</f>
        <v>#REF!</v>
      </c>
      <c r="M6" s="660"/>
      <c r="N6" s="660" t="e">
        <f>IF(AND(#REF!="Muy Alta",#REF!="Leve"),CONCATENATE("R",#REF!),"")</f>
        <v>#REF!</v>
      </c>
      <c r="O6" s="657"/>
      <c r="P6" s="658" t="e">
        <f>IF(AND(#REF!="Muy Alta",#REF!="Menor"),CONCATENATE("R",#REF!),"")</f>
        <v>#REF!</v>
      </c>
      <c r="Q6" s="656"/>
      <c r="R6" s="660" t="e">
        <f>IF(AND(#REF!="Muy Alta",#REF!="Menor"),CONCATENATE("R",#REF!),"")</f>
        <v>#REF!</v>
      </c>
      <c r="S6" s="656"/>
      <c r="T6" s="660" t="e">
        <f>IF(AND(#REF!="Muy Alta",#REF!="Menor"),CONCATENATE("R",#REF!),"")</f>
        <v>#REF!</v>
      </c>
      <c r="U6" s="657"/>
      <c r="V6" s="658" t="e">
        <f>IF(AND(#REF!="Muy Alta",#REF!="Moderado"),CONCATENATE("R",#REF!),"")</f>
        <v>#REF!</v>
      </c>
      <c r="W6" s="656"/>
      <c r="X6" s="660" t="e">
        <f>IF(AND(#REF!="Muy Alta",#REF!="Moderado"),CONCATENATE("R",#REF!),"")</f>
        <v>#REF!</v>
      </c>
      <c r="Y6" s="656"/>
      <c r="Z6" s="660" t="e">
        <f>IF(AND(#REF!="Muy Alta",#REF!="Moderado"),CONCATENATE("R",#REF!),"")</f>
        <v>#REF!</v>
      </c>
      <c r="AA6" s="657"/>
      <c r="AB6" s="658" t="e">
        <f>IF(AND(#REF!="Muy Alta",#REF!="Mayor"),CONCATENATE("R",#REF!),"")</f>
        <v>#REF!</v>
      </c>
      <c r="AC6" s="656"/>
      <c r="AD6" s="660" t="e">
        <f>IF(AND(#REF!="Muy Alta",#REF!="Mayor"),CONCATENATE("R",#REF!),"")</f>
        <v>#REF!</v>
      </c>
      <c r="AE6" s="656"/>
      <c r="AF6" s="660" t="e">
        <f>IF(AND(#REF!="Muy Alta",#REF!="Mayor"),CONCATENATE("R",#REF!),"")</f>
        <v>#REF!</v>
      </c>
      <c r="AG6" s="657"/>
      <c r="AH6" s="674" t="e">
        <f>IF(AND(#REF!="Muy Alta",#REF!="Catastrófico"),CONCATENATE("R",#REF!),"")</f>
        <v>#REF!</v>
      </c>
      <c r="AI6" s="656"/>
      <c r="AJ6" s="661" t="e">
        <f>IF(AND(#REF!="Muy Alta",#REF!="Catastrófico"),CONCATENATE("R",#REF!),"")</f>
        <v>#REF!</v>
      </c>
      <c r="AK6" s="656"/>
      <c r="AL6" s="661" t="e">
        <f>IF(AND(#REF!="Muy Alta",#REF!="Catastrófico"),CONCATENATE("R",#REF!),"")</f>
        <v>#REF!</v>
      </c>
      <c r="AM6" s="657"/>
      <c r="AO6" s="681" t="s">
        <v>4</v>
      </c>
      <c r="AP6" s="682"/>
      <c r="AQ6" s="682"/>
      <c r="AR6" s="682"/>
      <c r="AS6" s="682"/>
      <c r="AT6" s="683"/>
      <c r="AU6" s="115"/>
      <c r="AV6" s="115"/>
      <c r="AW6" s="115"/>
      <c r="AX6" s="115"/>
      <c r="AY6" s="115"/>
      <c r="AZ6" s="115"/>
      <c r="BA6" s="115"/>
      <c r="BB6" s="115"/>
      <c r="BC6" s="115"/>
      <c r="BD6" s="115"/>
      <c r="BE6" s="115"/>
      <c r="BF6" s="115"/>
      <c r="BG6" s="115"/>
      <c r="BH6" s="115"/>
      <c r="BI6" s="115"/>
    </row>
    <row r="7" spans="1:61" x14ac:dyDescent="0.25">
      <c r="A7" s="115"/>
      <c r="B7" s="654"/>
      <c r="C7" s="670"/>
      <c r="D7" s="653"/>
      <c r="E7" s="659"/>
      <c r="F7" s="670"/>
      <c r="G7" s="670"/>
      <c r="H7" s="670"/>
      <c r="I7" s="653"/>
      <c r="J7" s="659"/>
      <c r="K7" s="654"/>
      <c r="L7" s="665"/>
      <c r="M7" s="665"/>
      <c r="N7" s="654"/>
      <c r="O7" s="653"/>
      <c r="P7" s="659"/>
      <c r="Q7" s="654"/>
      <c r="R7" s="654"/>
      <c r="S7" s="654"/>
      <c r="T7" s="654"/>
      <c r="U7" s="653"/>
      <c r="V7" s="659"/>
      <c r="W7" s="654"/>
      <c r="X7" s="654"/>
      <c r="Y7" s="654"/>
      <c r="Z7" s="654"/>
      <c r="AA7" s="653"/>
      <c r="AB7" s="659"/>
      <c r="AC7" s="654"/>
      <c r="AD7" s="654"/>
      <c r="AE7" s="654"/>
      <c r="AF7" s="654"/>
      <c r="AG7" s="653"/>
      <c r="AH7" s="659"/>
      <c r="AI7" s="654"/>
      <c r="AJ7" s="654"/>
      <c r="AK7" s="654"/>
      <c r="AL7" s="654"/>
      <c r="AM7" s="653"/>
      <c r="AN7" s="115"/>
      <c r="AO7" s="684"/>
      <c r="AP7" s="670"/>
      <c r="AQ7" s="670"/>
      <c r="AR7" s="670"/>
      <c r="AS7" s="670"/>
      <c r="AT7" s="685"/>
      <c r="AU7" s="115"/>
      <c r="AV7" s="115"/>
      <c r="AW7" s="115"/>
      <c r="AX7" s="115"/>
      <c r="AY7" s="115"/>
      <c r="AZ7" s="115"/>
      <c r="BA7" s="115"/>
      <c r="BB7" s="115"/>
      <c r="BC7" s="115"/>
      <c r="BD7" s="115"/>
      <c r="BE7" s="115"/>
      <c r="BF7" s="115"/>
      <c r="BG7" s="115"/>
      <c r="BH7" s="115"/>
      <c r="BI7" s="115"/>
    </row>
    <row r="8" spans="1:61" x14ac:dyDescent="0.25">
      <c r="A8" s="115"/>
      <c r="B8" s="654"/>
      <c r="C8" s="670"/>
      <c r="D8" s="653"/>
      <c r="E8" s="659"/>
      <c r="F8" s="670"/>
      <c r="G8" s="670"/>
      <c r="H8" s="670"/>
      <c r="I8" s="653"/>
      <c r="J8" s="664" t="e">
        <f>IF(AND(#REF!="Muy Alta",#REF!="Leve"),CONCATENATE("R",#REF!),"")</f>
        <v>#REF!</v>
      </c>
      <c r="K8" s="665"/>
      <c r="L8" s="665" t="e">
        <f>IF(AND(#REF!="Muy Alta",#REF!="Leve"),CONCATENATE("R",#REF!),"")</f>
        <v>#REF!</v>
      </c>
      <c r="M8" s="654"/>
      <c r="N8" s="665" t="e">
        <f>IF(AND(#REF!="Muy Alta",#REF!="Leve"),CONCATENATE("R",#REF!),"")</f>
        <v>#REF!</v>
      </c>
      <c r="O8" s="653"/>
      <c r="P8" s="664" t="e">
        <f>IF(AND(#REF!="Muy Alta",#REF!="Menor"),CONCATENATE("R",#REF!),"")</f>
        <v>#REF!</v>
      </c>
      <c r="Q8" s="654"/>
      <c r="R8" s="665" t="e">
        <f>IF(AND(#REF!="Muy Alta",#REF!="Menor"),CONCATENATE("R",#REF!),"")</f>
        <v>#REF!</v>
      </c>
      <c r="S8" s="654"/>
      <c r="T8" s="665" t="e">
        <f>IF(AND(#REF!="Muy Alta",#REF!="Menor"),CONCATENATE("R",#REF!),"")</f>
        <v>#REF!</v>
      </c>
      <c r="U8" s="653"/>
      <c r="V8" s="664" t="e">
        <f>IF(AND(#REF!="Muy Alta",#REF!="Moderado"),CONCATENATE("R",#REF!),"")</f>
        <v>#REF!</v>
      </c>
      <c r="W8" s="654"/>
      <c r="X8" s="665" t="e">
        <f>IF(AND(#REF!="Muy Alta",#REF!="Moderado"),CONCATENATE("R",#REF!),"")</f>
        <v>#REF!</v>
      </c>
      <c r="Y8" s="654"/>
      <c r="Z8" s="665" t="e">
        <f>IF(AND(#REF!="Muy Alta",#REF!="Moderado"),CONCATENATE("R",#REF!),"")</f>
        <v>#REF!</v>
      </c>
      <c r="AA8" s="653"/>
      <c r="AB8" s="664" t="e">
        <f>IF(AND(#REF!="Muy Alta",#REF!="Mayor"),CONCATENATE("R",#REF!),"")</f>
        <v>#REF!</v>
      </c>
      <c r="AC8" s="654"/>
      <c r="AD8" s="665" t="e">
        <f>IF(AND(#REF!="Muy Alta",#REF!="Mayor"),CONCATENATE("R",#REF!),"")</f>
        <v>#REF!</v>
      </c>
      <c r="AE8" s="654"/>
      <c r="AF8" s="665" t="e">
        <f>IF(AND(#REF!="Muy Alta",#REF!="Mayor"),CONCATENATE("R",#REF!),"")</f>
        <v>#REF!</v>
      </c>
      <c r="AG8" s="653"/>
      <c r="AH8" s="666" t="e">
        <f>IF(AND(#REF!="Muy Alta",#REF!="Catastrófico"),CONCATENATE("R",#REF!),"")</f>
        <v>#REF!</v>
      </c>
      <c r="AI8" s="654"/>
      <c r="AJ8" s="667" t="e">
        <f>IF(AND(#REF!="Muy Alta",#REF!="Catastrófico"),CONCATENATE("R",#REF!),"")</f>
        <v>#REF!</v>
      </c>
      <c r="AK8" s="654"/>
      <c r="AL8" s="667" t="e">
        <f>IF(AND(#REF!="Muy Alta",#REF!="Catastrófico"),CONCATENATE("R",#REF!),"")</f>
        <v>#REF!</v>
      </c>
      <c r="AM8" s="653"/>
      <c r="AN8" s="115"/>
      <c r="AO8" s="684"/>
      <c r="AP8" s="670"/>
      <c r="AQ8" s="670"/>
      <c r="AR8" s="670"/>
      <c r="AS8" s="670"/>
      <c r="AT8" s="685"/>
      <c r="AU8" s="115"/>
      <c r="AV8" s="115"/>
      <c r="AW8" s="115"/>
      <c r="AX8" s="115"/>
      <c r="AY8" s="115"/>
      <c r="AZ8" s="115"/>
      <c r="BA8" s="115"/>
      <c r="BB8" s="115"/>
      <c r="BC8" s="115"/>
      <c r="BD8" s="115"/>
      <c r="BE8" s="115"/>
      <c r="BF8" s="115"/>
      <c r="BG8" s="115"/>
      <c r="BH8" s="115"/>
      <c r="BI8" s="115"/>
    </row>
    <row r="9" spans="1:61" x14ac:dyDescent="0.25">
      <c r="A9" s="115"/>
      <c r="B9" s="654"/>
      <c r="C9" s="670"/>
      <c r="D9" s="653"/>
      <c r="E9" s="659"/>
      <c r="F9" s="670"/>
      <c r="G9" s="670"/>
      <c r="H9" s="670"/>
      <c r="I9" s="653"/>
      <c r="J9" s="664"/>
      <c r="K9" s="665"/>
      <c r="L9" s="654"/>
      <c r="M9" s="654"/>
      <c r="N9" s="654"/>
      <c r="O9" s="653"/>
      <c r="P9" s="659"/>
      <c r="Q9" s="654"/>
      <c r="R9" s="654"/>
      <c r="S9" s="654"/>
      <c r="T9" s="654"/>
      <c r="U9" s="653"/>
      <c r="V9" s="659"/>
      <c r="W9" s="654"/>
      <c r="X9" s="654"/>
      <c r="Y9" s="654"/>
      <c r="Z9" s="654"/>
      <c r="AA9" s="653"/>
      <c r="AB9" s="659"/>
      <c r="AC9" s="654"/>
      <c r="AD9" s="654"/>
      <c r="AE9" s="654"/>
      <c r="AF9" s="654"/>
      <c r="AG9" s="653"/>
      <c r="AH9" s="659"/>
      <c r="AI9" s="654"/>
      <c r="AJ9" s="654"/>
      <c r="AK9" s="654"/>
      <c r="AL9" s="654"/>
      <c r="AM9" s="653"/>
      <c r="AN9" s="115"/>
      <c r="AO9" s="684"/>
      <c r="AP9" s="670"/>
      <c r="AQ9" s="670"/>
      <c r="AR9" s="670"/>
      <c r="AS9" s="670"/>
      <c r="AT9" s="685"/>
      <c r="AU9" s="115"/>
      <c r="AV9" s="115"/>
      <c r="AW9" s="115"/>
      <c r="AX9" s="115"/>
      <c r="AY9" s="115"/>
      <c r="AZ9" s="115"/>
      <c r="BA9" s="115"/>
      <c r="BB9" s="115"/>
      <c r="BC9" s="115"/>
      <c r="BD9" s="115"/>
      <c r="BE9" s="115"/>
      <c r="BF9" s="115"/>
      <c r="BG9" s="115"/>
      <c r="BH9" s="115"/>
      <c r="BI9" s="115"/>
    </row>
    <row r="10" spans="1:61" ht="15" customHeight="1" x14ac:dyDescent="0.25">
      <c r="A10" s="115"/>
      <c r="B10" s="654"/>
      <c r="C10" s="670"/>
      <c r="D10" s="653"/>
      <c r="E10" s="659"/>
      <c r="F10" s="670"/>
      <c r="G10" s="670"/>
      <c r="H10" s="670"/>
      <c r="I10" s="653"/>
      <c r="J10" s="664" t="e">
        <f>IF(AND(#REF!="Muy Alta",#REF!="Leve"),CONCATENATE("R",#REF!),"")</f>
        <v>#REF!</v>
      </c>
      <c r="K10" s="654"/>
      <c r="L10" s="665" t="e">
        <f>IF(AND(#REF!="Muy Alta",#REF!="Leve"),CONCATENATE("R",#REF!),"")</f>
        <v>#REF!</v>
      </c>
      <c r="M10" s="654"/>
      <c r="N10" s="665" t="e">
        <f>IF(AND(#REF!="Muy Alta",#REF!="Leve"),CONCATENATE("R",#REF!),"")</f>
        <v>#REF!</v>
      </c>
      <c r="O10" s="653"/>
      <c r="P10" s="664" t="e">
        <f>IF(AND(#REF!="Muy Alta",#REF!="Menor"),CONCATENATE("R",#REF!),"")</f>
        <v>#REF!</v>
      </c>
      <c r="Q10" s="654"/>
      <c r="R10" s="665" t="e">
        <f>IF(AND(#REF!="Muy Alta",#REF!="Menor"),CONCATENATE("R",#REF!),"")</f>
        <v>#REF!</v>
      </c>
      <c r="S10" s="654"/>
      <c r="T10" s="665" t="e">
        <f>IF(AND(#REF!="Muy Alta",#REF!="Menor"),CONCATENATE("R",#REF!),"")</f>
        <v>#REF!</v>
      </c>
      <c r="U10" s="653"/>
      <c r="V10" s="664" t="e">
        <f>IF(AND(#REF!="Muy Alta",#REF!="Moderado"),CONCATENATE("R",#REF!),"")</f>
        <v>#REF!</v>
      </c>
      <c r="W10" s="654"/>
      <c r="X10" s="665" t="e">
        <f>IF(AND(#REF!="Muy Alta",#REF!="Moderado"),CONCATENATE("R",#REF!),"")</f>
        <v>#REF!</v>
      </c>
      <c r="Y10" s="654"/>
      <c r="Z10" s="665" t="e">
        <f>IF(AND(#REF!="Muy Alta",#REF!="Moderado"),CONCATENATE("R",#REF!),"")</f>
        <v>#REF!</v>
      </c>
      <c r="AA10" s="653"/>
      <c r="AB10" s="664" t="e">
        <f>IF(AND(#REF!="Muy Alta",#REF!="Mayor"),CONCATENATE("R",#REF!),"")</f>
        <v>#REF!</v>
      </c>
      <c r="AC10" s="654"/>
      <c r="AD10" s="665" t="e">
        <f>IF(AND(#REF!="Muy Alta",#REF!="Mayor"),CONCATENATE("R",#REF!),"")</f>
        <v>#REF!</v>
      </c>
      <c r="AE10" s="654"/>
      <c r="AF10" s="665" t="e">
        <f>IF(AND(#REF!="Muy Alta",#REF!="Mayor"),CONCATENATE("R",#REF!),"")</f>
        <v>#REF!</v>
      </c>
      <c r="AG10" s="653"/>
      <c r="AH10" s="666" t="e">
        <f>IF(AND(#REF!="Muy Alta",#REF!="Catastrófico"),CONCATENATE("R",#REF!),"")</f>
        <v>#REF!</v>
      </c>
      <c r="AI10" s="654"/>
      <c r="AJ10" s="667" t="e">
        <f>IF(AND(#REF!="Muy Alta",#REF!="Catastrófico"),CONCATENATE("R",#REF!),"")</f>
        <v>#REF!</v>
      </c>
      <c r="AK10" s="654"/>
      <c r="AL10" s="667" t="e">
        <f>IF(AND(#REF!="Muy Alta",#REF!="Catastrófico"),CONCATENATE("R",#REF!),"")</f>
        <v>#REF!</v>
      </c>
      <c r="AM10" s="653"/>
      <c r="AN10" s="115"/>
      <c r="AO10" s="684"/>
      <c r="AP10" s="670"/>
      <c r="AQ10" s="670"/>
      <c r="AR10" s="670"/>
      <c r="AS10" s="670"/>
      <c r="AT10" s="685"/>
      <c r="AU10" s="115"/>
      <c r="AV10" s="115"/>
      <c r="AW10" s="115"/>
      <c r="AX10" s="115"/>
      <c r="AY10" s="115"/>
      <c r="AZ10" s="115"/>
      <c r="BA10" s="115"/>
      <c r="BB10" s="115"/>
      <c r="BC10" s="115"/>
      <c r="BD10" s="115"/>
      <c r="BE10" s="115"/>
      <c r="BF10" s="115"/>
      <c r="BG10" s="115"/>
      <c r="BH10" s="115"/>
      <c r="BI10" s="115"/>
    </row>
    <row r="11" spans="1:61" ht="15" customHeight="1" x14ac:dyDescent="0.25">
      <c r="A11" s="115"/>
      <c r="B11" s="654"/>
      <c r="C11" s="670"/>
      <c r="D11" s="653"/>
      <c r="E11" s="659"/>
      <c r="F11" s="670"/>
      <c r="G11" s="670"/>
      <c r="H11" s="670"/>
      <c r="I11" s="653"/>
      <c r="J11" s="659"/>
      <c r="K11" s="654"/>
      <c r="L11" s="654"/>
      <c r="M11" s="654"/>
      <c r="N11" s="654"/>
      <c r="O11" s="653"/>
      <c r="P11" s="659"/>
      <c r="Q11" s="654"/>
      <c r="R11" s="654"/>
      <c r="S11" s="654"/>
      <c r="T11" s="654"/>
      <c r="U11" s="653"/>
      <c r="V11" s="659"/>
      <c r="W11" s="654"/>
      <c r="X11" s="654"/>
      <c r="Y11" s="654"/>
      <c r="Z11" s="654"/>
      <c r="AA11" s="653"/>
      <c r="AB11" s="659"/>
      <c r="AC11" s="654"/>
      <c r="AD11" s="654"/>
      <c r="AE11" s="654"/>
      <c r="AF11" s="654"/>
      <c r="AG11" s="653"/>
      <c r="AH11" s="659"/>
      <c r="AI11" s="654"/>
      <c r="AJ11" s="654"/>
      <c r="AK11" s="654"/>
      <c r="AL11" s="654"/>
      <c r="AM11" s="653"/>
      <c r="AN11" s="115"/>
      <c r="AO11" s="684"/>
      <c r="AP11" s="670"/>
      <c r="AQ11" s="670"/>
      <c r="AR11" s="670"/>
      <c r="AS11" s="670"/>
      <c r="AT11" s="685"/>
      <c r="AU11" s="115"/>
      <c r="AV11" s="115"/>
      <c r="AW11" s="115"/>
      <c r="AX11" s="115"/>
      <c r="AY11" s="115"/>
      <c r="AZ11" s="115"/>
      <c r="BA11" s="115"/>
      <c r="BB11" s="115"/>
      <c r="BC11" s="115"/>
      <c r="BD11" s="115"/>
      <c r="BE11" s="115"/>
      <c r="BF11" s="115"/>
      <c r="BG11" s="115"/>
      <c r="BH11" s="115"/>
      <c r="BI11" s="115"/>
    </row>
    <row r="12" spans="1:61" ht="15" customHeight="1" x14ac:dyDescent="0.25">
      <c r="A12" s="115"/>
      <c r="B12" s="654"/>
      <c r="C12" s="670"/>
      <c r="D12" s="653"/>
      <c r="E12" s="659"/>
      <c r="F12" s="670"/>
      <c r="G12" s="670"/>
      <c r="H12" s="670"/>
      <c r="I12" s="653"/>
      <c r="J12" s="664" t="e">
        <f>IF(AND(#REF!="Muy Alta",#REF!="Leve"),CONCATENATE("R",#REF!),"")</f>
        <v>#REF!</v>
      </c>
      <c r="K12" s="654"/>
      <c r="L12" s="665" t="e">
        <f>IF(AND(#REF!="Muy Alta",#REF!="Leve"),CONCATENATE("R",#REF!),"")</f>
        <v>#REF!</v>
      </c>
      <c r="M12" s="654"/>
      <c r="N12" s="665" t="e">
        <f>IF(AND(#REF!="Muy Alta",#REF!="Leve"),CONCATENATE("R",#REF!),"")</f>
        <v>#REF!</v>
      </c>
      <c r="O12" s="653"/>
      <c r="P12" s="664" t="e">
        <f>IF(AND(#REF!="Muy Alta",#REF!="Menor"),CONCATENATE("R",#REF!),"")</f>
        <v>#REF!</v>
      </c>
      <c r="Q12" s="654"/>
      <c r="R12" s="665" t="e">
        <f>IF(AND(#REF!="Muy Alta",#REF!="Menor"),CONCATENATE("R",#REF!),"")</f>
        <v>#REF!</v>
      </c>
      <c r="S12" s="654"/>
      <c r="T12" s="665" t="e">
        <f>IF(AND(#REF!="Muy Alta",#REF!="Menor"),CONCATENATE("R",#REF!),"")</f>
        <v>#REF!</v>
      </c>
      <c r="U12" s="653"/>
      <c r="V12" s="664" t="e">
        <f>IF(AND(#REF!="Muy Alta",#REF!="Moderado"),CONCATENATE("R",#REF!),"")</f>
        <v>#REF!</v>
      </c>
      <c r="W12" s="654"/>
      <c r="X12" s="665" t="e">
        <f>IF(AND(#REF!="Muy Alta",#REF!="Moderado"),CONCATENATE("R",#REF!),"")</f>
        <v>#REF!</v>
      </c>
      <c r="Y12" s="654"/>
      <c r="Z12" s="665" t="e">
        <f>IF(AND(#REF!="Muy Alta",#REF!="Moderado"),CONCATENATE("R",#REF!),"")</f>
        <v>#REF!</v>
      </c>
      <c r="AA12" s="653"/>
      <c r="AB12" s="664" t="e">
        <f>IF(AND(#REF!="Muy Alta",#REF!="Mayor"),CONCATENATE("R",#REF!),"")</f>
        <v>#REF!</v>
      </c>
      <c r="AC12" s="654"/>
      <c r="AD12" s="665" t="e">
        <f>IF(AND(#REF!="Muy Alta",#REF!="Mayor"),CONCATENATE("R",#REF!),"")</f>
        <v>#REF!</v>
      </c>
      <c r="AE12" s="654"/>
      <c r="AF12" s="665" t="e">
        <f>IF(AND(#REF!="Muy Alta",#REF!="Mayor"),CONCATENATE("R",#REF!),"")</f>
        <v>#REF!</v>
      </c>
      <c r="AG12" s="653"/>
      <c r="AH12" s="666" t="e">
        <f>IF(AND(#REF!="Muy Alta",#REF!="Catastrófico"),CONCATENATE("R",#REF!),"")</f>
        <v>#REF!</v>
      </c>
      <c r="AI12" s="654"/>
      <c r="AJ12" s="667" t="e">
        <f>IF(AND(#REF!="Muy Alta",#REF!="Catastrófico"),CONCATENATE("R",#REF!),"")</f>
        <v>#REF!</v>
      </c>
      <c r="AK12" s="654"/>
      <c r="AL12" s="667" t="e">
        <f>IF(AND(#REF!="Muy Alta",#REF!="Catastrófico"),CONCATENATE("R",#REF!),"")</f>
        <v>#REF!</v>
      </c>
      <c r="AM12" s="653"/>
      <c r="AN12" s="115"/>
      <c r="AO12" s="684"/>
      <c r="AP12" s="670"/>
      <c r="AQ12" s="670"/>
      <c r="AR12" s="670"/>
      <c r="AS12" s="670"/>
      <c r="AT12" s="685"/>
      <c r="AU12" s="115"/>
      <c r="AV12" s="115"/>
      <c r="AW12" s="115"/>
      <c r="AX12" s="115"/>
      <c r="AY12" s="115"/>
      <c r="AZ12" s="115"/>
      <c r="BA12" s="115"/>
      <c r="BB12" s="115"/>
      <c r="BC12" s="115"/>
      <c r="BD12" s="115"/>
      <c r="BE12" s="115"/>
      <c r="BF12" s="115"/>
      <c r="BG12" s="115"/>
      <c r="BH12" s="115"/>
      <c r="BI12" s="115"/>
    </row>
    <row r="13" spans="1:61" ht="15.75" customHeight="1" thickBot="1" x14ac:dyDescent="0.3">
      <c r="A13" s="115"/>
      <c r="B13" s="654"/>
      <c r="C13" s="670"/>
      <c r="D13" s="653"/>
      <c r="E13" s="671"/>
      <c r="F13" s="672"/>
      <c r="G13" s="672"/>
      <c r="H13" s="672"/>
      <c r="I13" s="673"/>
      <c r="J13" s="659"/>
      <c r="K13" s="654"/>
      <c r="L13" s="654"/>
      <c r="M13" s="654"/>
      <c r="N13" s="654"/>
      <c r="O13" s="653"/>
      <c r="P13" s="659"/>
      <c r="Q13" s="654"/>
      <c r="R13" s="654"/>
      <c r="S13" s="654"/>
      <c r="T13" s="654"/>
      <c r="U13" s="653"/>
      <c r="V13" s="659"/>
      <c r="W13" s="654"/>
      <c r="X13" s="654"/>
      <c r="Y13" s="654"/>
      <c r="Z13" s="654"/>
      <c r="AA13" s="653"/>
      <c r="AB13" s="659"/>
      <c r="AC13" s="654"/>
      <c r="AD13" s="654"/>
      <c r="AE13" s="654"/>
      <c r="AF13" s="654"/>
      <c r="AG13" s="653"/>
      <c r="AH13" s="671"/>
      <c r="AI13" s="672"/>
      <c r="AJ13" s="672"/>
      <c r="AK13" s="672"/>
      <c r="AL13" s="672"/>
      <c r="AM13" s="673"/>
      <c r="AN13" s="115"/>
      <c r="AO13" s="686"/>
      <c r="AP13" s="687"/>
      <c r="AQ13" s="687"/>
      <c r="AR13" s="687"/>
      <c r="AS13" s="687"/>
      <c r="AT13" s="688"/>
      <c r="AU13" s="115"/>
      <c r="AV13" s="115"/>
      <c r="AW13" s="115"/>
      <c r="AX13" s="115"/>
      <c r="AY13" s="115"/>
      <c r="AZ13" s="115"/>
      <c r="BA13" s="115"/>
      <c r="BB13" s="115"/>
      <c r="BC13" s="115"/>
      <c r="BD13" s="115"/>
      <c r="BE13" s="115"/>
      <c r="BF13" s="115"/>
      <c r="BG13" s="115"/>
      <c r="BH13" s="115"/>
      <c r="BI13" s="115"/>
    </row>
    <row r="14" spans="1:61" ht="15" customHeight="1" x14ac:dyDescent="0.25">
      <c r="A14" s="115"/>
      <c r="B14" s="654"/>
      <c r="C14" s="670"/>
      <c r="D14" s="653"/>
      <c r="E14" s="669" t="s">
        <v>5</v>
      </c>
      <c r="F14" s="656"/>
      <c r="G14" s="656"/>
      <c r="H14" s="656"/>
      <c r="I14" s="656"/>
      <c r="J14" s="668" t="e">
        <f>IF(AND(#REF!="Alta",#REF!="Leve"),CONCATENATE("R",#REF!),"")</f>
        <v>#REF!</v>
      </c>
      <c r="K14" s="656"/>
      <c r="L14" s="655" t="e">
        <f>IF(AND(#REF!="Alta",#REF!="Leve"),CONCATENATE("R",#REF!),"")</f>
        <v>#REF!</v>
      </c>
      <c r="M14" s="656"/>
      <c r="N14" s="655" t="e">
        <f>IF(AND(#REF!="Alta",#REF!="Leve"),CONCATENATE("R",#REF!),"")</f>
        <v>#REF!</v>
      </c>
      <c r="O14" s="657"/>
      <c r="P14" s="668" t="e">
        <f>IF(AND(#REF!="Alta",#REF!="Menor"),CONCATENATE("R",#REF!),"")</f>
        <v>#REF!</v>
      </c>
      <c r="Q14" s="656"/>
      <c r="R14" s="655" t="e">
        <f>IF(AND(#REF!="Alta",#REF!="Menor"),CONCATENATE("R",#REF!),"")</f>
        <v>#REF!</v>
      </c>
      <c r="S14" s="656"/>
      <c r="T14" s="655" t="e">
        <f>IF(AND(#REF!="Alta",#REF!="Menor"),CONCATENATE("R",#REF!),"")</f>
        <v>#REF!</v>
      </c>
      <c r="U14" s="657"/>
      <c r="V14" s="658" t="e">
        <f>IF(AND(#REF!="Alta",#REF!="Moderado"),CONCATENATE("R",#REF!),"")</f>
        <v>#REF!</v>
      </c>
      <c r="W14" s="656"/>
      <c r="X14" s="660" t="e">
        <f>IF(AND(#REF!="Alta",#REF!="Moderado"),CONCATENATE("R",#REF!),"")</f>
        <v>#REF!</v>
      </c>
      <c r="Y14" s="656"/>
      <c r="Z14" s="660" t="e">
        <f>IF(AND(#REF!="Alta",#REF!="Moderado"),CONCATENATE("R",#REF!),"")</f>
        <v>#REF!</v>
      </c>
      <c r="AA14" s="657"/>
      <c r="AB14" s="658" t="e">
        <f>IF(AND(#REF!="Alta",#REF!="Mayor"),CONCATENATE("R",#REF!),"")</f>
        <v>#REF!</v>
      </c>
      <c r="AC14" s="656"/>
      <c r="AD14" s="660" t="e">
        <f>IF(AND(#REF!="Alta",#REF!="Mayor"),CONCATENATE("R",#REF!),"")</f>
        <v>#REF!</v>
      </c>
      <c r="AE14" s="656"/>
      <c r="AF14" s="660" t="e">
        <f>IF(AND(#REF!="Alta",#REF!="Mayor"),CONCATENATE("R",#REF!),"")</f>
        <v>#REF!</v>
      </c>
      <c r="AG14" s="657"/>
      <c r="AH14" s="674" t="e">
        <f>IF(AND(#REF!="Alta",#REF!="Catastrófico"),CONCATENATE("R",#REF!),"")</f>
        <v>#REF!</v>
      </c>
      <c r="AI14" s="656"/>
      <c r="AJ14" s="661" t="e">
        <f>IF(AND(#REF!="Alta",#REF!="Catastrófico"),CONCATENATE("R",#REF!),"")</f>
        <v>#REF!</v>
      </c>
      <c r="AK14" s="656"/>
      <c r="AL14" s="661" t="e">
        <f>IF(AND(#REF!="Alta",#REF!="Catastrófico"),CONCATENATE("R",#REF!),"")</f>
        <v>#REF!</v>
      </c>
      <c r="AM14" s="657"/>
      <c r="AN14" s="115"/>
      <c r="AO14" s="690" t="s">
        <v>6</v>
      </c>
      <c r="AP14" s="682"/>
      <c r="AQ14" s="682"/>
      <c r="AR14" s="682"/>
      <c r="AS14" s="682"/>
      <c r="AT14" s="683"/>
      <c r="AU14" s="115"/>
      <c r="AV14" s="115"/>
      <c r="AW14" s="115"/>
      <c r="AX14" s="115"/>
      <c r="AY14" s="115"/>
      <c r="AZ14" s="115"/>
      <c r="BA14" s="115"/>
      <c r="BB14" s="115"/>
      <c r="BC14" s="115"/>
      <c r="BD14" s="115"/>
      <c r="BE14" s="115"/>
      <c r="BF14" s="115"/>
      <c r="BG14" s="115"/>
      <c r="BH14" s="115"/>
      <c r="BI14" s="115"/>
    </row>
    <row r="15" spans="1:61" ht="15" customHeight="1" x14ac:dyDescent="0.25">
      <c r="A15" s="115"/>
      <c r="B15" s="654"/>
      <c r="C15" s="670"/>
      <c r="D15" s="653"/>
      <c r="E15" s="659"/>
      <c r="F15" s="670"/>
      <c r="G15" s="670"/>
      <c r="H15" s="670"/>
      <c r="I15" s="670"/>
      <c r="J15" s="659"/>
      <c r="K15" s="654"/>
      <c r="L15" s="654"/>
      <c r="M15" s="654"/>
      <c r="N15" s="654"/>
      <c r="O15" s="653"/>
      <c r="P15" s="659"/>
      <c r="Q15" s="654"/>
      <c r="R15" s="654"/>
      <c r="S15" s="654"/>
      <c r="T15" s="654"/>
      <c r="U15" s="653"/>
      <c r="V15" s="659"/>
      <c r="W15" s="654"/>
      <c r="X15" s="654"/>
      <c r="Y15" s="654"/>
      <c r="Z15" s="654"/>
      <c r="AA15" s="653"/>
      <c r="AB15" s="659"/>
      <c r="AC15" s="654"/>
      <c r="AD15" s="654"/>
      <c r="AE15" s="654"/>
      <c r="AF15" s="654"/>
      <c r="AG15" s="653"/>
      <c r="AH15" s="659"/>
      <c r="AI15" s="654"/>
      <c r="AJ15" s="654"/>
      <c r="AK15" s="654"/>
      <c r="AL15" s="654"/>
      <c r="AM15" s="653"/>
      <c r="AN15" s="115"/>
      <c r="AO15" s="684"/>
      <c r="AP15" s="670"/>
      <c r="AQ15" s="670"/>
      <c r="AR15" s="670"/>
      <c r="AS15" s="670"/>
      <c r="AT15" s="685"/>
      <c r="AU15" s="115"/>
      <c r="AV15" s="115"/>
      <c r="AW15" s="115"/>
      <c r="AX15" s="115"/>
      <c r="AY15" s="115"/>
      <c r="AZ15" s="115"/>
      <c r="BA15" s="115"/>
      <c r="BB15" s="115"/>
      <c r="BC15" s="115"/>
      <c r="BD15" s="115"/>
      <c r="BE15" s="115"/>
      <c r="BF15" s="115"/>
      <c r="BG15" s="115"/>
      <c r="BH15" s="115"/>
      <c r="BI15" s="115"/>
    </row>
    <row r="16" spans="1:61" ht="15" customHeight="1" x14ac:dyDescent="0.25">
      <c r="A16" s="115"/>
      <c r="B16" s="654"/>
      <c r="C16" s="670"/>
      <c r="D16" s="653"/>
      <c r="E16" s="659"/>
      <c r="F16" s="670"/>
      <c r="G16" s="670"/>
      <c r="H16" s="670"/>
      <c r="I16" s="670"/>
      <c r="J16" s="663" t="e">
        <f>IF(AND(#REF!="Alta",#REF!="Leve"),CONCATENATE("R",#REF!),"")</f>
        <v>#REF!</v>
      </c>
      <c r="K16" s="654"/>
      <c r="L16" s="652" t="e">
        <f>IF(AND(#REF!="Alta",#REF!="Leve"),CONCATENATE("R",#REF!),"")</f>
        <v>#REF!</v>
      </c>
      <c r="M16" s="654"/>
      <c r="N16" s="652" t="e">
        <f>IF(AND(#REF!="Alta",#REF!="Leve"),CONCATENATE("R",#REF!),"")</f>
        <v>#REF!</v>
      </c>
      <c r="O16" s="653"/>
      <c r="P16" s="663" t="e">
        <f>IF(AND(#REF!="Alta",#REF!="Menor"),CONCATENATE("R",#REF!),"")</f>
        <v>#REF!</v>
      </c>
      <c r="Q16" s="654"/>
      <c r="R16" s="652" t="e">
        <f>IF(AND(#REF!="Alta",#REF!="Menor"),CONCATENATE("R",#REF!),"")</f>
        <v>#REF!</v>
      </c>
      <c r="S16" s="654"/>
      <c r="T16" s="652" t="e">
        <f>IF(AND(#REF!="Alta",#REF!="Menor"),CONCATENATE("R",#REF!),"")</f>
        <v>#REF!</v>
      </c>
      <c r="U16" s="653"/>
      <c r="V16" s="664" t="e">
        <f>IF(AND(#REF!="Alta",#REF!="Moderado"),CONCATENATE("R",#REF!),"")</f>
        <v>#REF!</v>
      </c>
      <c r="W16" s="654"/>
      <c r="X16" s="665" t="e">
        <f>IF(AND(#REF!="Alta",#REF!="Moderado"),CONCATENATE("R",#REF!),"")</f>
        <v>#REF!</v>
      </c>
      <c r="Y16" s="654"/>
      <c r="Z16" s="665" t="e">
        <f>IF(AND(#REF!="Alta",#REF!="Moderado"),CONCATENATE("R",#REF!),"")</f>
        <v>#REF!</v>
      </c>
      <c r="AA16" s="653"/>
      <c r="AB16" s="664" t="e">
        <f>IF(AND(#REF!="Alta",#REF!="Mayor"),CONCATENATE("R",#REF!),"")</f>
        <v>#REF!</v>
      </c>
      <c r="AC16" s="654"/>
      <c r="AD16" s="665" t="e">
        <f>IF(AND(#REF!="Alta",#REF!="Mayor"),CONCATENATE("R",#REF!),"")</f>
        <v>#REF!</v>
      </c>
      <c r="AE16" s="654"/>
      <c r="AF16" s="665" t="e">
        <f>IF(AND(#REF!="Alta",#REF!="Mayor"),CONCATENATE("R",#REF!),"")</f>
        <v>#REF!</v>
      </c>
      <c r="AG16" s="653"/>
      <c r="AH16" s="666" t="e">
        <f>IF(AND(#REF!="Alta",#REF!="Catastrófico"),CONCATENATE("R",#REF!),"")</f>
        <v>#REF!</v>
      </c>
      <c r="AI16" s="654"/>
      <c r="AJ16" s="667" t="e">
        <f>IF(AND(#REF!="Alta",#REF!="Catastrófico"),CONCATENATE("R",#REF!),"")</f>
        <v>#REF!</v>
      </c>
      <c r="AK16" s="654"/>
      <c r="AL16" s="667" t="e">
        <f>IF(AND(#REF!="Alta",#REF!="Catastrófico"),CONCATENATE("R",#REF!),"")</f>
        <v>#REF!</v>
      </c>
      <c r="AM16" s="653"/>
      <c r="AN16" s="115"/>
      <c r="AO16" s="684"/>
      <c r="AP16" s="670"/>
      <c r="AQ16" s="670"/>
      <c r="AR16" s="670"/>
      <c r="AS16" s="670"/>
      <c r="AT16" s="685"/>
      <c r="AU16" s="115"/>
      <c r="AV16" s="115"/>
      <c r="AW16" s="115"/>
      <c r="AX16" s="115"/>
      <c r="AY16" s="115"/>
      <c r="AZ16" s="115"/>
      <c r="BA16" s="115"/>
      <c r="BB16" s="115"/>
      <c r="BC16" s="115"/>
      <c r="BD16" s="115"/>
      <c r="BE16" s="115"/>
      <c r="BF16" s="115"/>
      <c r="BG16" s="115"/>
      <c r="BH16" s="115"/>
      <c r="BI16" s="115"/>
    </row>
    <row r="17" spans="1:61" ht="15" customHeight="1" x14ac:dyDescent="0.25">
      <c r="A17" s="115"/>
      <c r="B17" s="654"/>
      <c r="C17" s="670"/>
      <c r="D17" s="653"/>
      <c r="E17" s="659"/>
      <c r="F17" s="670"/>
      <c r="G17" s="670"/>
      <c r="H17" s="670"/>
      <c r="I17" s="670"/>
      <c r="J17" s="659"/>
      <c r="K17" s="654"/>
      <c r="L17" s="654"/>
      <c r="M17" s="654"/>
      <c r="N17" s="654"/>
      <c r="O17" s="653"/>
      <c r="P17" s="659"/>
      <c r="Q17" s="654"/>
      <c r="R17" s="654"/>
      <c r="S17" s="654"/>
      <c r="T17" s="654"/>
      <c r="U17" s="653"/>
      <c r="V17" s="659"/>
      <c r="W17" s="654"/>
      <c r="X17" s="654"/>
      <c r="Y17" s="654"/>
      <c r="Z17" s="654"/>
      <c r="AA17" s="653"/>
      <c r="AB17" s="659"/>
      <c r="AC17" s="654"/>
      <c r="AD17" s="654"/>
      <c r="AE17" s="654"/>
      <c r="AF17" s="654"/>
      <c r="AG17" s="653"/>
      <c r="AH17" s="659"/>
      <c r="AI17" s="654"/>
      <c r="AJ17" s="654"/>
      <c r="AK17" s="654"/>
      <c r="AL17" s="654"/>
      <c r="AM17" s="653"/>
      <c r="AN17" s="115"/>
      <c r="AO17" s="684"/>
      <c r="AP17" s="670"/>
      <c r="AQ17" s="670"/>
      <c r="AR17" s="670"/>
      <c r="AS17" s="670"/>
      <c r="AT17" s="685"/>
      <c r="AU17" s="115"/>
      <c r="AV17" s="115"/>
      <c r="AW17" s="115"/>
      <c r="AX17" s="115"/>
      <c r="AY17" s="115"/>
      <c r="AZ17" s="115"/>
      <c r="BA17" s="115"/>
      <c r="BB17" s="115"/>
      <c r="BC17" s="115"/>
      <c r="BD17" s="115"/>
      <c r="BE17" s="115"/>
      <c r="BF17" s="115"/>
      <c r="BG17" s="115"/>
      <c r="BH17" s="115"/>
      <c r="BI17" s="115"/>
    </row>
    <row r="18" spans="1:61" ht="15" customHeight="1" x14ac:dyDescent="0.25">
      <c r="A18" s="115"/>
      <c r="B18" s="654"/>
      <c r="C18" s="670"/>
      <c r="D18" s="653"/>
      <c r="E18" s="659"/>
      <c r="F18" s="670"/>
      <c r="G18" s="670"/>
      <c r="H18" s="670"/>
      <c r="I18" s="670"/>
      <c r="J18" s="663" t="e">
        <f>IF(AND(#REF!="Alta",#REF!="Leve"),CONCATENATE("R",#REF!),"")</f>
        <v>#REF!</v>
      </c>
      <c r="K18" s="654"/>
      <c r="L18" s="652" t="e">
        <f>IF(AND(#REF!="Alta",#REF!="Leve"),CONCATENATE("R",#REF!),"")</f>
        <v>#REF!</v>
      </c>
      <c r="M18" s="654"/>
      <c r="N18" s="652" t="e">
        <f>IF(AND(#REF!="Alta",#REF!="Leve"),CONCATENATE("R",#REF!),"")</f>
        <v>#REF!</v>
      </c>
      <c r="O18" s="653"/>
      <c r="P18" s="663" t="e">
        <f>IF(AND(#REF!="Alta",#REF!="Menor"),CONCATENATE("R",#REF!),"")</f>
        <v>#REF!</v>
      </c>
      <c r="Q18" s="654"/>
      <c r="R18" s="652" t="e">
        <f>IF(AND(#REF!="Alta",#REF!="Menor"),CONCATENATE("R",#REF!),"")</f>
        <v>#REF!</v>
      </c>
      <c r="S18" s="654"/>
      <c r="T18" s="652" t="e">
        <f>IF(AND(#REF!="Alta",#REF!="Menor"),CONCATENATE("R",#REF!),"")</f>
        <v>#REF!</v>
      </c>
      <c r="U18" s="653"/>
      <c r="V18" s="664" t="e">
        <f>IF(AND(#REF!="Alta",#REF!="Moderado"),CONCATENATE("R",#REF!),"")</f>
        <v>#REF!</v>
      </c>
      <c r="W18" s="654"/>
      <c r="X18" s="665" t="e">
        <f>IF(AND(#REF!="Alta",#REF!="Moderado"),CONCATENATE("R",#REF!),"")</f>
        <v>#REF!</v>
      </c>
      <c r="Y18" s="654"/>
      <c r="Z18" s="665" t="e">
        <f>IF(AND(#REF!="Alta",#REF!="Moderado"),CONCATENATE("R",#REF!),"")</f>
        <v>#REF!</v>
      </c>
      <c r="AA18" s="653"/>
      <c r="AB18" s="664" t="e">
        <f>IF(AND(#REF!="Alta",#REF!="Mayor"),CONCATENATE("R",#REF!),"")</f>
        <v>#REF!</v>
      </c>
      <c r="AC18" s="654"/>
      <c r="AD18" s="665" t="e">
        <f>IF(AND(#REF!="Alta",#REF!="Mayor"),CONCATENATE("R",#REF!),"")</f>
        <v>#REF!</v>
      </c>
      <c r="AE18" s="654"/>
      <c r="AF18" s="665" t="e">
        <f>IF(AND(#REF!="Alta",#REF!="Mayor"),CONCATENATE("R",#REF!),"")</f>
        <v>#REF!</v>
      </c>
      <c r="AG18" s="653"/>
      <c r="AH18" s="666" t="e">
        <f>IF(AND(#REF!="Alta",#REF!="Catastrófico"),CONCATENATE("R",#REF!),"")</f>
        <v>#REF!</v>
      </c>
      <c r="AI18" s="654"/>
      <c r="AJ18" s="667" t="e">
        <f>IF(AND(#REF!="Alta",#REF!="Catastrófico"),CONCATENATE("R",#REF!),"")</f>
        <v>#REF!</v>
      </c>
      <c r="AK18" s="654"/>
      <c r="AL18" s="667" t="e">
        <f>IF(AND(#REF!="Alta",#REF!="Catastrófico"),CONCATENATE("R",#REF!),"")</f>
        <v>#REF!</v>
      </c>
      <c r="AM18" s="653"/>
      <c r="AN18" s="115"/>
      <c r="AO18" s="684"/>
      <c r="AP18" s="670"/>
      <c r="AQ18" s="670"/>
      <c r="AR18" s="670"/>
      <c r="AS18" s="670"/>
      <c r="AT18" s="685"/>
      <c r="AU18" s="115"/>
      <c r="AV18" s="115"/>
      <c r="AW18" s="115"/>
      <c r="AX18" s="115"/>
      <c r="AY18" s="115"/>
      <c r="AZ18" s="115"/>
      <c r="BA18" s="115"/>
      <c r="BB18" s="115"/>
      <c r="BC18" s="115"/>
      <c r="BD18" s="115"/>
      <c r="BE18" s="115"/>
      <c r="BF18" s="115"/>
      <c r="BG18" s="115"/>
      <c r="BH18" s="115"/>
      <c r="BI18" s="115"/>
    </row>
    <row r="19" spans="1:61" ht="15" customHeight="1" x14ac:dyDescent="0.25">
      <c r="A19" s="115"/>
      <c r="B19" s="654"/>
      <c r="C19" s="670"/>
      <c r="D19" s="653"/>
      <c r="E19" s="659"/>
      <c r="F19" s="670"/>
      <c r="G19" s="670"/>
      <c r="H19" s="670"/>
      <c r="I19" s="670"/>
      <c r="J19" s="659"/>
      <c r="K19" s="654"/>
      <c r="L19" s="654"/>
      <c r="M19" s="654"/>
      <c r="N19" s="654"/>
      <c r="O19" s="653"/>
      <c r="P19" s="659"/>
      <c r="Q19" s="654"/>
      <c r="R19" s="654"/>
      <c r="S19" s="654"/>
      <c r="T19" s="654"/>
      <c r="U19" s="653"/>
      <c r="V19" s="659"/>
      <c r="W19" s="654"/>
      <c r="X19" s="654"/>
      <c r="Y19" s="654"/>
      <c r="Z19" s="654"/>
      <c r="AA19" s="653"/>
      <c r="AB19" s="659"/>
      <c r="AC19" s="654"/>
      <c r="AD19" s="654"/>
      <c r="AE19" s="654"/>
      <c r="AF19" s="654"/>
      <c r="AG19" s="653"/>
      <c r="AH19" s="659"/>
      <c r="AI19" s="654"/>
      <c r="AJ19" s="654"/>
      <c r="AK19" s="654"/>
      <c r="AL19" s="654"/>
      <c r="AM19" s="653"/>
      <c r="AN19" s="115"/>
      <c r="AO19" s="684"/>
      <c r="AP19" s="670"/>
      <c r="AQ19" s="670"/>
      <c r="AR19" s="670"/>
      <c r="AS19" s="670"/>
      <c r="AT19" s="685"/>
      <c r="AU19" s="115"/>
      <c r="AV19" s="115"/>
      <c r="AW19" s="115"/>
      <c r="AX19" s="115"/>
      <c r="AY19" s="115"/>
      <c r="AZ19" s="115"/>
      <c r="BA19" s="115"/>
      <c r="BB19" s="115"/>
      <c r="BC19" s="115"/>
      <c r="BD19" s="115"/>
      <c r="BE19" s="115"/>
      <c r="BF19" s="115"/>
      <c r="BG19" s="115"/>
      <c r="BH19" s="115"/>
      <c r="BI19" s="115"/>
    </row>
    <row r="20" spans="1:61" ht="15" customHeight="1" x14ac:dyDescent="0.25">
      <c r="A20" s="115"/>
      <c r="B20" s="654"/>
      <c r="C20" s="670"/>
      <c r="D20" s="653"/>
      <c r="E20" s="659"/>
      <c r="F20" s="670"/>
      <c r="G20" s="670"/>
      <c r="H20" s="670"/>
      <c r="I20" s="670"/>
      <c r="J20" s="663" t="e">
        <f>IF(AND(#REF!="Alta",#REF!="Leve"),CONCATENATE("R",#REF!),"")</f>
        <v>#REF!</v>
      </c>
      <c r="K20" s="654"/>
      <c r="L20" s="652" t="e">
        <f>IF(AND(#REF!="Alta",#REF!="Leve"),CONCATENATE("R",#REF!),"")</f>
        <v>#REF!</v>
      </c>
      <c r="M20" s="654"/>
      <c r="N20" s="652" t="e">
        <f>IF(AND(#REF!="Alta",#REF!="Leve"),CONCATENATE("R",#REF!),"")</f>
        <v>#REF!</v>
      </c>
      <c r="O20" s="653"/>
      <c r="P20" s="663" t="e">
        <f>IF(AND(#REF!="Alta",#REF!="Menor"),CONCATENATE("R",#REF!),"")</f>
        <v>#REF!</v>
      </c>
      <c r="Q20" s="654"/>
      <c r="R20" s="652" t="e">
        <f>IF(AND(#REF!="Alta",#REF!="Menor"),CONCATENATE("R",#REF!),"")</f>
        <v>#REF!</v>
      </c>
      <c r="S20" s="654"/>
      <c r="T20" s="652" t="e">
        <f>IF(AND(#REF!="Alta",#REF!="Menor"),CONCATENATE("R",#REF!),"")</f>
        <v>#REF!</v>
      </c>
      <c r="U20" s="653"/>
      <c r="V20" s="664" t="e">
        <f>IF(AND(#REF!="Alta",#REF!="Moderado"),CONCATENATE("R",#REF!),"")</f>
        <v>#REF!</v>
      </c>
      <c r="W20" s="654"/>
      <c r="X20" s="665" t="e">
        <f>IF(AND(#REF!="Alta",#REF!="Moderado"),CONCATENATE("R",#REF!),"")</f>
        <v>#REF!</v>
      </c>
      <c r="Y20" s="654"/>
      <c r="Z20" s="665" t="e">
        <f>IF(AND(#REF!="Alta",#REF!="Moderado"),CONCATENATE("R",#REF!),"")</f>
        <v>#REF!</v>
      </c>
      <c r="AA20" s="653"/>
      <c r="AB20" s="664" t="e">
        <f>IF(AND(#REF!="Alta",#REF!="Mayor"),CONCATENATE("R",#REF!),"")</f>
        <v>#REF!</v>
      </c>
      <c r="AC20" s="654"/>
      <c r="AD20" s="665" t="e">
        <f>IF(AND(#REF!="Alta",#REF!="Mayor"),CONCATENATE("R",#REF!),"")</f>
        <v>#REF!</v>
      </c>
      <c r="AE20" s="654"/>
      <c r="AF20" s="665" t="e">
        <f>IF(AND(#REF!="Alta",#REF!="Mayor"),CONCATENATE("R",#REF!),"")</f>
        <v>#REF!</v>
      </c>
      <c r="AG20" s="653"/>
      <c r="AH20" s="666" t="e">
        <f>IF(AND(#REF!="Alta",#REF!="Catastrófico"),CONCATENATE("R",#REF!),"")</f>
        <v>#REF!</v>
      </c>
      <c r="AI20" s="654"/>
      <c r="AJ20" s="667" t="e">
        <f>IF(AND(#REF!="Alta",#REF!="Catastrófico"),CONCATENATE("R",#REF!),"")</f>
        <v>#REF!</v>
      </c>
      <c r="AK20" s="654"/>
      <c r="AL20" s="667" t="e">
        <f>IF(AND(#REF!="Alta",#REF!="Catastrófico"),CONCATENATE("R",#REF!),"")</f>
        <v>#REF!</v>
      </c>
      <c r="AM20" s="653"/>
      <c r="AN20" s="115"/>
      <c r="AO20" s="684"/>
      <c r="AP20" s="670"/>
      <c r="AQ20" s="670"/>
      <c r="AR20" s="670"/>
      <c r="AS20" s="670"/>
      <c r="AT20" s="685"/>
      <c r="AU20" s="115"/>
      <c r="AV20" s="115"/>
      <c r="AW20" s="115"/>
      <c r="AX20" s="115"/>
      <c r="AY20" s="115"/>
      <c r="AZ20" s="115"/>
      <c r="BA20" s="115"/>
      <c r="BB20" s="115"/>
      <c r="BC20" s="115"/>
      <c r="BD20" s="115"/>
      <c r="BE20" s="115"/>
      <c r="BF20" s="115"/>
      <c r="BG20" s="115"/>
      <c r="BH20" s="115"/>
      <c r="BI20" s="115"/>
    </row>
    <row r="21" spans="1:61" ht="15.75" customHeight="1" thickBot="1" x14ac:dyDescent="0.3">
      <c r="A21" s="115"/>
      <c r="B21" s="654"/>
      <c r="C21" s="670"/>
      <c r="D21" s="653"/>
      <c r="E21" s="671"/>
      <c r="F21" s="672"/>
      <c r="G21" s="672"/>
      <c r="H21" s="672"/>
      <c r="I21" s="672"/>
      <c r="J21" s="671"/>
      <c r="K21" s="672"/>
      <c r="L21" s="672"/>
      <c r="M21" s="672"/>
      <c r="N21" s="672"/>
      <c r="O21" s="673"/>
      <c r="P21" s="671"/>
      <c r="Q21" s="672"/>
      <c r="R21" s="672"/>
      <c r="S21" s="672"/>
      <c r="T21" s="672"/>
      <c r="U21" s="673"/>
      <c r="V21" s="671"/>
      <c r="W21" s="672"/>
      <c r="X21" s="672"/>
      <c r="Y21" s="672"/>
      <c r="Z21" s="672"/>
      <c r="AA21" s="673"/>
      <c r="AB21" s="671"/>
      <c r="AC21" s="672"/>
      <c r="AD21" s="672"/>
      <c r="AE21" s="672"/>
      <c r="AF21" s="672"/>
      <c r="AG21" s="673"/>
      <c r="AH21" s="671"/>
      <c r="AI21" s="672"/>
      <c r="AJ21" s="672"/>
      <c r="AK21" s="672"/>
      <c r="AL21" s="672"/>
      <c r="AM21" s="673"/>
      <c r="AN21" s="115"/>
      <c r="AO21" s="686"/>
      <c r="AP21" s="687"/>
      <c r="AQ21" s="687"/>
      <c r="AR21" s="687"/>
      <c r="AS21" s="687"/>
      <c r="AT21" s="688"/>
      <c r="AU21" s="115"/>
      <c r="AV21" s="115"/>
      <c r="AW21" s="115"/>
      <c r="AX21" s="115"/>
      <c r="AY21" s="115"/>
      <c r="AZ21" s="115"/>
      <c r="BA21" s="115"/>
      <c r="BB21" s="115"/>
      <c r="BC21" s="115"/>
      <c r="BD21" s="115"/>
      <c r="BE21" s="115"/>
      <c r="BF21" s="115"/>
      <c r="BG21" s="115"/>
      <c r="BH21" s="115"/>
      <c r="BI21" s="115"/>
    </row>
    <row r="22" spans="1:61" ht="15.75" customHeight="1" x14ac:dyDescent="0.25">
      <c r="A22" s="115"/>
      <c r="B22" s="654"/>
      <c r="C22" s="670"/>
      <c r="D22" s="653"/>
      <c r="E22" s="669" t="s">
        <v>7</v>
      </c>
      <c r="F22" s="656"/>
      <c r="G22" s="656"/>
      <c r="H22" s="656"/>
      <c r="I22" s="657"/>
      <c r="J22" s="668" t="e">
        <f>IF(AND(#REF!="Media",#REF!="Leve"),CONCATENATE("R",#REF!),"")</f>
        <v>#REF!</v>
      </c>
      <c r="K22" s="656"/>
      <c r="L22" s="655" t="e">
        <f>IF(AND(#REF!="Media",#REF!="Leve"),CONCATENATE("R",#REF!),"")</f>
        <v>#REF!</v>
      </c>
      <c r="M22" s="656"/>
      <c r="N22" s="655" t="e">
        <f>IF(AND(#REF!="Media",#REF!="Leve"),CONCATENATE("R",#REF!),"")</f>
        <v>#REF!</v>
      </c>
      <c r="O22" s="657"/>
      <c r="P22" s="668" t="e">
        <f>IF(AND(#REF!="Media",#REF!="Menor"),CONCATENATE("R",#REF!),"")</f>
        <v>#REF!</v>
      </c>
      <c r="Q22" s="656"/>
      <c r="R22" s="655" t="e">
        <f>IF(AND(#REF!="Media",#REF!="Menor"),CONCATENATE("R",#REF!),"")</f>
        <v>#REF!</v>
      </c>
      <c r="S22" s="656"/>
      <c r="T22" s="655" t="e">
        <f>IF(AND(#REF!="Media",#REF!="Menor"),CONCATENATE("R",#REF!),"")</f>
        <v>#REF!</v>
      </c>
      <c r="U22" s="657"/>
      <c r="V22" s="668" t="e">
        <f>IF(AND(#REF!="Media",#REF!="Moderado"),CONCATENATE("R",#REF!),"")</f>
        <v>#REF!</v>
      </c>
      <c r="W22" s="656"/>
      <c r="X22" s="655" t="e">
        <f>IF(AND(#REF!="Media",#REF!="Moderado"),CONCATENATE("R",#REF!),"")</f>
        <v>#REF!</v>
      </c>
      <c r="Y22" s="656"/>
      <c r="Z22" s="655" t="e">
        <f>IF(AND(#REF!="Media",#REF!="Moderado"),CONCATENATE("R",#REF!),"")</f>
        <v>#REF!</v>
      </c>
      <c r="AA22" s="657"/>
      <c r="AB22" s="658" t="e">
        <f>IF(AND(#REF!="Media",#REF!="Mayor"),CONCATENATE("R",#REF!),"")</f>
        <v>#REF!</v>
      </c>
      <c r="AC22" s="656"/>
      <c r="AD22" s="660" t="e">
        <f>IF(AND(#REF!="Media",#REF!="Mayor"),CONCATENATE("R",#REF!),"")</f>
        <v>#REF!</v>
      </c>
      <c r="AE22" s="656"/>
      <c r="AF22" s="660" t="e">
        <f>IF(AND(#REF!="Media",#REF!="Mayor"),CONCATENATE("R",#REF!),"")</f>
        <v>#REF!</v>
      </c>
      <c r="AG22" s="657"/>
      <c r="AH22" s="674" t="e">
        <f>IF(AND(#REF!="Media",#REF!="Catastrófico"),CONCATENATE("R",#REF!),"")</f>
        <v>#REF!</v>
      </c>
      <c r="AI22" s="656"/>
      <c r="AJ22" s="661" t="e">
        <f>IF(AND(#REF!="Media",#REF!="Catastrófico"),CONCATENATE("R",#REF!),"")</f>
        <v>#REF!</v>
      </c>
      <c r="AK22" s="656"/>
      <c r="AL22" s="661" t="e">
        <f>IF(AND(#REF!="Media",#REF!="Catastrófico"),CONCATENATE("R",#REF!),"")</f>
        <v>#REF!</v>
      </c>
      <c r="AM22" s="657"/>
      <c r="AN22" s="115"/>
      <c r="AO22" s="691" t="s">
        <v>8</v>
      </c>
      <c r="AP22" s="682"/>
      <c r="AQ22" s="682"/>
      <c r="AR22" s="682"/>
      <c r="AS22" s="682"/>
      <c r="AT22" s="683"/>
      <c r="AU22" s="115"/>
      <c r="AV22" s="115"/>
      <c r="AW22" s="115"/>
      <c r="AX22" s="115"/>
      <c r="AY22" s="115"/>
      <c r="AZ22" s="115"/>
      <c r="BA22" s="115"/>
      <c r="BB22" s="115"/>
      <c r="BC22" s="115"/>
      <c r="BD22" s="115"/>
      <c r="BE22" s="115"/>
      <c r="BF22" s="115"/>
      <c r="BG22" s="115"/>
      <c r="BH22" s="115"/>
      <c r="BI22" s="115"/>
    </row>
    <row r="23" spans="1:61" ht="15.75" customHeight="1" x14ac:dyDescent="0.25">
      <c r="A23" s="115"/>
      <c r="B23" s="654"/>
      <c r="C23" s="670"/>
      <c r="D23" s="653"/>
      <c r="E23" s="659"/>
      <c r="F23" s="670"/>
      <c r="G23" s="670"/>
      <c r="H23" s="670"/>
      <c r="I23" s="653"/>
      <c r="J23" s="659"/>
      <c r="K23" s="654"/>
      <c r="L23" s="654"/>
      <c r="M23" s="654"/>
      <c r="N23" s="654"/>
      <c r="O23" s="653"/>
      <c r="P23" s="659"/>
      <c r="Q23" s="654"/>
      <c r="R23" s="654"/>
      <c r="S23" s="654"/>
      <c r="T23" s="654"/>
      <c r="U23" s="653"/>
      <c r="V23" s="659"/>
      <c r="W23" s="654"/>
      <c r="X23" s="654"/>
      <c r="Y23" s="654"/>
      <c r="Z23" s="654"/>
      <c r="AA23" s="653"/>
      <c r="AB23" s="659"/>
      <c r="AC23" s="654"/>
      <c r="AD23" s="654"/>
      <c r="AE23" s="654"/>
      <c r="AF23" s="654"/>
      <c r="AG23" s="653"/>
      <c r="AH23" s="659"/>
      <c r="AI23" s="654"/>
      <c r="AJ23" s="654"/>
      <c r="AK23" s="654"/>
      <c r="AL23" s="654"/>
      <c r="AM23" s="653"/>
      <c r="AN23" s="115"/>
      <c r="AO23" s="684"/>
      <c r="AP23" s="670"/>
      <c r="AQ23" s="670"/>
      <c r="AR23" s="670"/>
      <c r="AS23" s="670"/>
      <c r="AT23" s="685"/>
      <c r="AU23" s="115"/>
      <c r="AV23" s="115"/>
      <c r="AW23" s="115"/>
      <c r="AX23" s="115"/>
      <c r="AY23" s="115"/>
      <c r="AZ23" s="115"/>
      <c r="BA23" s="115"/>
      <c r="BB23" s="115"/>
      <c r="BC23" s="115"/>
      <c r="BD23" s="115"/>
      <c r="BE23" s="115"/>
      <c r="BF23" s="115"/>
      <c r="BG23" s="115"/>
      <c r="BH23" s="115"/>
      <c r="BI23" s="115"/>
    </row>
    <row r="24" spans="1:61" ht="15.75" customHeight="1" x14ac:dyDescent="0.25">
      <c r="A24" s="115"/>
      <c r="B24" s="654"/>
      <c r="C24" s="670"/>
      <c r="D24" s="653"/>
      <c r="E24" s="659"/>
      <c r="F24" s="670"/>
      <c r="G24" s="670"/>
      <c r="H24" s="670"/>
      <c r="I24" s="653"/>
      <c r="J24" s="663" t="e">
        <f>IF(AND(#REF!="Media",#REF!="Leve"),CONCATENATE("R",#REF!),"")</f>
        <v>#REF!</v>
      </c>
      <c r="K24" s="654"/>
      <c r="L24" s="652" t="e">
        <f>IF(AND(#REF!="Media",#REF!="Leve"),CONCATENATE("R",#REF!),"")</f>
        <v>#REF!</v>
      </c>
      <c r="M24" s="654"/>
      <c r="N24" s="652" t="e">
        <f>IF(AND(#REF!="Media",#REF!="Leve"),CONCATENATE("R",#REF!),"")</f>
        <v>#REF!</v>
      </c>
      <c r="O24" s="653"/>
      <c r="P24" s="663" t="e">
        <f>IF(AND(#REF!="Media",#REF!="Menor"),CONCATENATE("R",#REF!),"")</f>
        <v>#REF!</v>
      </c>
      <c r="Q24" s="654"/>
      <c r="R24" s="652" t="e">
        <f>IF(AND(#REF!="Media",#REF!="Menor"),CONCATENATE("R",#REF!),"")</f>
        <v>#REF!</v>
      </c>
      <c r="S24" s="654"/>
      <c r="T24" s="652" t="e">
        <f>IF(AND(#REF!="Media",#REF!="Menor"),CONCATENATE("R",#REF!),"")</f>
        <v>#REF!</v>
      </c>
      <c r="U24" s="653"/>
      <c r="V24" s="663" t="e">
        <f>IF(AND(#REF!="Media",#REF!="Moderado"),CONCATENATE("R",#REF!),"")</f>
        <v>#REF!</v>
      </c>
      <c r="W24" s="654"/>
      <c r="X24" s="652" t="e">
        <f>IF(AND(#REF!="Media",#REF!="Moderado"),CONCATENATE("R",#REF!),"")</f>
        <v>#REF!</v>
      </c>
      <c r="Y24" s="654"/>
      <c r="Z24" s="652" t="e">
        <f>IF(AND(#REF!="Media",#REF!="Moderado"),CONCATENATE("R",#REF!),"")</f>
        <v>#REF!</v>
      </c>
      <c r="AA24" s="653"/>
      <c r="AB24" s="664" t="e">
        <f>IF(AND(#REF!="Media",#REF!="Mayor"),CONCATENATE("R",#REF!),"")</f>
        <v>#REF!</v>
      </c>
      <c r="AC24" s="654"/>
      <c r="AD24" s="665" t="e">
        <f>IF(AND(#REF!="Media",#REF!="Mayor"),CONCATENATE("R",#REF!),"")</f>
        <v>#REF!</v>
      </c>
      <c r="AE24" s="654"/>
      <c r="AF24" s="665" t="e">
        <f>IF(AND(#REF!="Media",#REF!="Mayor"),CONCATENATE("R",#REF!),"")</f>
        <v>#REF!</v>
      </c>
      <c r="AG24" s="653"/>
      <c r="AH24" s="666" t="e">
        <f>IF(AND(#REF!="Media",#REF!="Catastrófico"),CONCATENATE("R",#REF!),"")</f>
        <v>#REF!</v>
      </c>
      <c r="AI24" s="654"/>
      <c r="AJ24" s="667" t="e">
        <f>IF(AND(#REF!="Media",#REF!="Catastrófico"),CONCATENATE("R",#REF!),"")</f>
        <v>#REF!</v>
      </c>
      <c r="AK24" s="654"/>
      <c r="AL24" s="667" t="e">
        <f>IF(AND(#REF!="Media",#REF!="Catastrófico"),CONCATENATE("R",#REF!),"")</f>
        <v>#REF!</v>
      </c>
      <c r="AM24" s="653"/>
      <c r="AN24" s="115"/>
      <c r="AO24" s="684"/>
      <c r="AP24" s="670"/>
      <c r="AQ24" s="670"/>
      <c r="AR24" s="670"/>
      <c r="AS24" s="670"/>
      <c r="AT24" s="685"/>
      <c r="AU24" s="115"/>
      <c r="AV24" s="115"/>
      <c r="AW24" s="115"/>
      <c r="AX24" s="115"/>
      <c r="AY24" s="115"/>
      <c r="AZ24" s="115"/>
      <c r="BA24" s="115"/>
      <c r="BB24" s="115"/>
      <c r="BC24" s="115"/>
      <c r="BD24" s="115"/>
      <c r="BE24" s="115"/>
      <c r="BF24" s="115"/>
      <c r="BG24" s="115"/>
      <c r="BH24" s="115"/>
      <c r="BI24" s="115"/>
    </row>
    <row r="25" spans="1:61" ht="15.75" customHeight="1" x14ac:dyDescent="0.25">
      <c r="A25" s="115"/>
      <c r="B25" s="654"/>
      <c r="C25" s="670"/>
      <c r="D25" s="653"/>
      <c r="E25" s="659"/>
      <c r="F25" s="670"/>
      <c r="G25" s="670"/>
      <c r="H25" s="670"/>
      <c r="I25" s="653"/>
      <c r="J25" s="659"/>
      <c r="K25" s="654"/>
      <c r="L25" s="654"/>
      <c r="M25" s="654"/>
      <c r="N25" s="654"/>
      <c r="O25" s="653"/>
      <c r="P25" s="659"/>
      <c r="Q25" s="654"/>
      <c r="R25" s="654"/>
      <c r="S25" s="654"/>
      <c r="T25" s="654"/>
      <c r="U25" s="653"/>
      <c r="V25" s="659"/>
      <c r="W25" s="654"/>
      <c r="X25" s="654"/>
      <c r="Y25" s="654"/>
      <c r="Z25" s="654"/>
      <c r="AA25" s="653"/>
      <c r="AB25" s="659"/>
      <c r="AC25" s="654"/>
      <c r="AD25" s="654"/>
      <c r="AE25" s="654"/>
      <c r="AF25" s="654"/>
      <c r="AG25" s="653"/>
      <c r="AH25" s="659"/>
      <c r="AI25" s="654"/>
      <c r="AJ25" s="654"/>
      <c r="AK25" s="654"/>
      <c r="AL25" s="654"/>
      <c r="AM25" s="653"/>
      <c r="AN25" s="115"/>
      <c r="AO25" s="684"/>
      <c r="AP25" s="670"/>
      <c r="AQ25" s="670"/>
      <c r="AR25" s="670"/>
      <c r="AS25" s="670"/>
      <c r="AT25" s="685"/>
      <c r="AU25" s="115"/>
      <c r="AV25" s="115"/>
      <c r="AW25" s="115"/>
      <c r="AX25" s="115"/>
      <c r="AY25" s="115"/>
      <c r="AZ25" s="115"/>
      <c r="BA25" s="115"/>
      <c r="BB25" s="115"/>
      <c r="BC25" s="115"/>
      <c r="BD25" s="115"/>
      <c r="BE25" s="115"/>
      <c r="BF25" s="115"/>
      <c r="BG25" s="115"/>
      <c r="BH25" s="115"/>
      <c r="BI25" s="115"/>
    </row>
    <row r="26" spans="1:61" ht="15.75" customHeight="1" x14ac:dyDescent="0.25">
      <c r="A26" s="115"/>
      <c r="B26" s="654"/>
      <c r="C26" s="670"/>
      <c r="D26" s="653"/>
      <c r="E26" s="659"/>
      <c r="F26" s="670"/>
      <c r="G26" s="670"/>
      <c r="H26" s="670"/>
      <c r="I26" s="653"/>
      <c r="J26" s="663" t="e">
        <f>IF(AND(#REF!="Media",#REF!="Leve"),CONCATENATE("R",#REF!),"")</f>
        <v>#REF!</v>
      </c>
      <c r="K26" s="654"/>
      <c r="L26" s="652" t="e">
        <f>IF(AND(#REF!="Media",#REF!="Leve"),CONCATENATE("R",#REF!),"")</f>
        <v>#REF!</v>
      </c>
      <c r="M26" s="654"/>
      <c r="N26" s="652" t="e">
        <f>IF(AND(#REF!="Media",#REF!="Leve"),CONCATENATE("R",#REF!),"")</f>
        <v>#REF!</v>
      </c>
      <c r="O26" s="653"/>
      <c r="P26" s="663" t="e">
        <f>IF(AND(#REF!="Media",#REF!="Menor"),CONCATENATE("R",#REF!),"")</f>
        <v>#REF!</v>
      </c>
      <c r="Q26" s="654"/>
      <c r="R26" s="652" t="e">
        <f>IF(AND(#REF!="Media",#REF!="Menor"),CONCATENATE("R",#REF!),"")</f>
        <v>#REF!</v>
      </c>
      <c r="S26" s="654"/>
      <c r="T26" s="652" t="e">
        <f>IF(AND(#REF!="Media",#REF!="Menor"),CONCATENATE("R",#REF!),"")</f>
        <v>#REF!</v>
      </c>
      <c r="U26" s="653"/>
      <c r="V26" s="663" t="e">
        <f>IF(AND(#REF!="Media",#REF!="Moderado"),CONCATENATE("R",#REF!),"")</f>
        <v>#REF!</v>
      </c>
      <c r="W26" s="654"/>
      <c r="X26" s="652" t="e">
        <f>IF(AND(#REF!="Media",#REF!="Moderado"),CONCATENATE("R",#REF!),"")</f>
        <v>#REF!</v>
      </c>
      <c r="Y26" s="654"/>
      <c r="Z26" s="652" t="e">
        <f>IF(AND(#REF!="Media",#REF!="Moderado"),CONCATENATE("R",#REF!),"")</f>
        <v>#REF!</v>
      </c>
      <c r="AA26" s="653"/>
      <c r="AB26" s="664" t="e">
        <f>IF(AND(#REF!="Media",#REF!="Mayor"),CONCATENATE("R",#REF!),"")</f>
        <v>#REF!</v>
      </c>
      <c r="AC26" s="654"/>
      <c r="AD26" s="665" t="e">
        <f>IF(AND(#REF!="Media",#REF!="Mayor"),CONCATENATE("R",#REF!),"")</f>
        <v>#REF!</v>
      </c>
      <c r="AE26" s="654"/>
      <c r="AF26" s="665" t="e">
        <f>IF(AND(#REF!="Media",#REF!="Mayor"),CONCATENATE("R",#REF!),"")</f>
        <v>#REF!</v>
      </c>
      <c r="AG26" s="653"/>
      <c r="AH26" s="666" t="e">
        <f>IF(AND(#REF!="Media",#REF!="Catastrófico"),CONCATENATE("R",#REF!),"")</f>
        <v>#REF!</v>
      </c>
      <c r="AI26" s="654"/>
      <c r="AJ26" s="667" t="e">
        <f>IF(AND(#REF!="Media",#REF!="Catastrófico"),CONCATENATE("R",#REF!),"")</f>
        <v>#REF!</v>
      </c>
      <c r="AK26" s="654"/>
      <c r="AL26" s="667" t="e">
        <f>IF(AND(#REF!="Media",#REF!="Catastrófico"),CONCATENATE("R",#REF!),"")</f>
        <v>#REF!</v>
      </c>
      <c r="AM26" s="653"/>
      <c r="AN26" s="115"/>
      <c r="AO26" s="684"/>
      <c r="AP26" s="670"/>
      <c r="AQ26" s="670"/>
      <c r="AR26" s="670"/>
      <c r="AS26" s="670"/>
      <c r="AT26" s="685"/>
      <c r="AU26" s="115"/>
      <c r="AV26" s="115"/>
      <c r="AW26" s="115"/>
      <c r="AX26" s="115"/>
      <c r="AY26" s="115"/>
      <c r="AZ26" s="115"/>
      <c r="BA26" s="115"/>
      <c r="BB26" s="115"/>
      <c r="BC26" s="115"/>
      <c r="BD26" s="115"/>
      <c r="BE26" s="115"/>
      <c r="BF26" s="115"/>
      <c r="BG26" s="115"/>
      <c r="BH26" s="115"/>
      <c r="BI26" s="115"/>
    </row>
    <row r="27" spans="1:61" ht="15.75" customHeight="1" x14ac:dyDescent="0.25">
      <c r="A27" s="115"/>
      <c r="B27" s="654"/>
      <c r="C27" s="670"/>
      <c r="D27" s="653"/>
      <c r="E27" s="659"/>
      <c r="F27" s="670"/>
      <c r="G27" s="670"/>
      <c r="H27" s="670"/>
      <c r="I27" s="653"/>
      <c r="J27" s="659"/>
      <c r="K27" s="654"/>
      <c r="L27" s="654"/>
      <c r="M27" s="654"/>
      <c r="N27" s="654"/>
      <c r="O27" s="653"/>
      <c r="P27" s="659"/>
      <c r="Q27" s="654"/>
      <c r="R27" s="654"/>
      <c r="S27" s="654"/>
      <c r="T27" s="654"/>
      <c r="U27" s="653"/>
      <c r="V27" s="659"/>
      <c r="W27" s="654"/>
      <c r="X27" s="654"/>
      <c r="Y27" s="654"/>
      <c r="Z27" s="654"/>
      <c r="AA27" s="653"/>
      <c r="AB27" s="659"/>
      <c r="AC27" s="654"/>
      <c r="AD27" s="654"/>
      <c r="AE27" s="654"/>
      <c r="AF27" s="654"/>
      <c r="AG27" s="653"/>
      <c r="AH27" s="659"/>
      <c r="AI27" s="654"/>
      <c r="AJ27" s="654"/>
      <c r="AK27" s="654"/>
      <c r="AL27" s="654"/>
      <c r="AM27" s="653"/>
      <c r="AN27" s="115"/>
      <c r="AO27" s="684"/>
      <c r="AP27" s="670"/>
      <c r="AQ27" s="670"/>
      <c r="AR27" s="670"/>
      <c r="AS27" s="670"/>
      <c r="AT27" s="685"/>
      <c r="AU27" s="115"/>
      <c r="AV27" s="115"/>
      <c r="AW27" s="115"/>
      <c r="AX27" s="115"/>
      <c r="AY27" s="115"/>
      <c r="AZ27" s="115"/>
      <c r="BA27" s="115"/>
      <c r="BB27" s="115"/>
      <c r="BC27" s="115"/>
      <c r="BD27" s="115"/>
      <c r="BE27" s="115"/>
      <c r="BF27" s="115"/>
      <c r="BG27" s="115"/>
      <c r="BH27" s="115"/>
      <c r="BI27" s="115"/>
    </row>
    <row r="28" spans="1:61" ht="15.75" customHeight="1" x14ac:dyDescent="0.25">
      <c r="A28" s="115"/>
      <c r="B28" s="654"/>
      <c r="C28" s="670"/>
      <c r="D28" s="653"/>
      <c r="E28" s="659"/>
      <c r="F28" s="670"/>
      <c r="G28" s="670"/>
      <c r="H28" s="670"/>
      <c r="I28" s="653"/>
      <c r="J28" s="663" t="e">
        <f>IF(AND(#REF!="Media",#REF!="Leve"),CONCATENATE("R",#REF!),"")</f>
        <v>#REF!</v>
      </c>
      <c r="K28" s="654"/>
      <c r="L28" s="652" t="e">
        <f>IF(AND(#REF!="Media",#REF!="Leve"),CONCATENATE("R",#REF!),"")</f>
        <v>#REF!</v>
      </c>
      <c r="M28" s="654"/>
      <c r="N28" s="652" t="e">
        <f>IF(AND(#REF!="Media",#REF!="Leve"),CONCATENATE("R",#REF!),"")</f>
        <v>#REF!</v>
      </c>
      <c r="O28" s="653"/>
      <c r="P28" s="663" t="e">
        <f>IF(AND(#REF!="Media",#REF!="Menor"),CONCATENATE("R",#REF!),"")</f>
        <v>#REF!</v>
      </c>
      <c r="Q28" s="654"/>
      <c r="R28" s="652" t="e">
        <f>IF(AND(#REF!="Media",#REF!="Menor"),CONCATENATE("R",#REF!),"")</f>
        <v>#REF!</v>
      </c>
      <c r="S28" s="654"/>
      <c r="T28" s="652" t="e">
        <f>IF(AND(#REF!="Media",#REF!="Menor"),CONCATENATE("R",#REF!),"")</f>
        <v>#REF!</v>
      </c>
      <c r="U28" s="653"/>
      <c r="V28" s="663" t="e">
        <f>IF(AND(#REF!="Media",#REF!="Moderado"),CONCATENATE("R",#REF!),"")</f>
        <v>#REF!</v>
      </c>
      <c r="W28" s="654"/>
      <c r="X28" s="652" t="e">
        <f>IF(AND(#REF!="Media",#REF!="Moderado"),CONCATENATE("R",#REF!),"")</f>
        <v>#REF!</v>
      </c>
      <c r="Y28" s="654"/>
      <c r="Z28" s="652" t="e">
        <f>IF(AND(#REF!="Media",#REF!="Moderado"),CONCATENATE("R",#REF!),"")</f>
        <v>#REF!</v>
      </c>
      <c r="AA28" s="653"/>
      <c r="AB28" s="664" t="e">
        <f>IF(AND(#REF!="Media",#REF!="Mayor"),CONCATENATE("R",#REF!),"")</f>
        <v>#REF!</v>
      </c>
      <c r="AC28" s="654"/>
      <c r="AD28" s="665" t="e">
        <f>IF(AND(#REF!="Media",#REF!="Mayor"),CONCATENATE("R",#REF!),"")</f>
        <v>#REF!</v>
      </c>
      <c r="AE28" s="654"/>
      <c r="AF28" s="665" t="e">
        <f>IF(AND(#REF!="Media",#REF!="Mayor"),CONCATENATE("R",#REF!),"")</f>
        <v>#REF!</v>
      </c>
      <c r="AG28" s="653"/>
      <c r="AH28" s="666" t="e">
        <f>IF(AND(#REF!="Media",#REF!="Catastrófico"),CONCATENATE("R",#REF!),"")</f>
        <v>#REF!</v>
      </c>
      <c r="AI28" s="654"/>
      <c r="AJ28" s="667" t="e">
        <f>IF(AND(#REF!="Media",#REF!="Catastrófico"),CONCATENATE("R",#REF!),"")</f>
        <v>#REF!</v>
      </c>
      <c r="AK28" s="654"/>
      <c r="AL28" s="667" t="e">
        <f>IF(AND(#REF!="Media",#REF!="Catastrófico"),CONCATENATE("R",#REF!),"")</f>
        <v>#REF!</v>
      </c>
      <c r="AM28" s="653"/>
      <c r="AN28" s="115"/>
      <c r="AO28" s="684"/>
      <c r="AP28" s="670"/>
      <c r="AQ28" s="670"/>
      <c r="AR28" s="670"/>
      <c r="AS28" s="670"/>
      <c r="AT28" s="685"/>
      <c r="AU28" s="115"/>
      <c r="AV28" s="115"/>
      <c r="AW28" s="115"/>
      <c r="AX28" s="115"/>
      <c r="AY28" s="115"/>
      <c r="AZ28" s="115"/>
      <c r="BA28" s="115"/>
      <c r="BB28" s="115"/>
      <c r="BC28" s="115"/>
      <c r="BD28" s="115"/>
      <c r="BE28" s="115"/>
      <c r="BF28" s="115"/>
      <c r="BG28" s="115"/>
      <c r="BH28" s="115"/>
      <c r="BI28" s="115"/>
    </row>
    <row r="29" spans="1:61" ht="15.75" customHeight="1" thickBot="1" x14ac:dyDescent="0.3">
      <c r="A29" s="115"/>
      <c r="B29" s="654"/>
      <c r="C29" s="670"/>
      <c r="D29" s="653"/>
      <c r="E29" s="671"/>
      <c r="F29" s="672"/>
      <c r="G29" s="672"/>
      <c r="H29" s="672"/>
      <c r="I29" s="673"/>
      <c r="J29" s="659"/>
      <c r="K29" s="654"/>
      <c r="L29" s="654"/>
      <c r="M29" s="654"/>
      <c r="N29" s="654"/>
      <c r="O29" s="653"/>
      <c r="P29" s="671"/>
      <c r="Q29" s="672"/>
      <c r="R29" s="672"/>
      <c r="S29" s="672"/>
      <c r="T29" s="672"/>
      <c r="U29" s="673"/>
      <c r="V29" s="671"/>
      <c r="W29" s="672"/>
      <c r="X29" s="672"/>
      <c r="Y29" s="672"/>
      <c r="Z29" s="672"/>
      <c r="AA29" s="673"/>
      <c r="AB29" s="671"/>
      <c r="AC29" s="672"/>
      <c r="AD29" s="672"/>
      <c r="AE29" s="672"/>
      <c r="AF29" s="672"/>
      <c r="AG29" s="673"/>
      <c r="AH29" s="671"/>
      <c r="AI29" s="672"/>
      <c r="AJ29" s="672"/>
      <c r="AK29" s="672"/>
      <c r="AL29" s="672"/>
      <c r="AM29" s="673"/>
      <c r="AN29" s="115"/>
      <c r="AO29" s="686"/>
      <c r="AP29" s="687"/>
      <c r="AQ29" s="687"/>
      <c r="AR29" s="687"/>
      <c r="AS29" s="687"/>
      <c r="AT29" s="688"/>
      <c r="AU29" s="115"/>
      <c r="AV29" s="115"/>
      <c r="AW29" s="115"/>
      <c r="AX29" s="115"/>
      <c r="AY29" s="115"/>
      <c r="AZ29" s="115"/>
      <c r="BA29" s="115"/>
      <c r="BB29" s="115"/>
      <c r="BC29" s="115"/>
      <c r="BD29" s="115"/>
      <c r="BE29" s="115"/>
      <c r="BF29" s="115"/>
      <c r="BG29" s="115"/>
      <c r="BH29" s="115"/>
      <c r="BI29" s="115"/>
    </row>
    <row r="30" spans="1:61" ht="15.75" customHeight="1" x14ac:dyDescent="0.25">
      <c r="A30" s="115"/>
      <c r="B30" s="654"/>
      <c r="C30" s="670"/>
      <c r="D30" s="653"/>
      <c r="E30" s="669" t="s">
        <v>9</v>
      </c>
      <c r="F30" s="656"/>
      <c r="G30" s="656"/>
      <c r="H30" s="656"/>
      <c r="I30" s="656"/>
      <c r="J30" s="680" t="e">
        <f>IF(AND(#REF!="Baja",#REF!="Leve"),CONCATENATE("R",#REF!),"")</f>
        <v>#REF!</v>
      </c>
      <c r="K30" s="656"/>
      <c r="L30" s="679" t="e">
        <f>IF(AND(#REF!="Baja",#REF!="Leve"),CONCATENATE("R",#REF!),"")</f>
        <v>#REF!</v>
      </c>
      <c r="M30" s="656"/>
      <c r="N30" s="679" t="e">
        <f>IF(AND(#REF!="Baja",#REF!="Leve"),CONCATENATE("R",#REF!),"")</f>
        <v>#REF!</v>
      </c>
      <c r="O30" s="657"/>
      <c r="P30" s="655" t="e">
        <f>IF(AND(#REF!="Baja",#REF!="Menor"),CONCATENATE("R",#REF!),"")</f>
        <v>#REF!</v>
      </c>
      <c r="Q30" s="656"/>
      <c r="R30" s="655" t="e">
        <f>IF(AND(#REF!="Baja",#REF!="Menor"),CONCATENATE("R",#REF!),"")</f>
        <v>#REF!</v>
      </c>
      <c r="S30" s="656"/>
      <c r="T30" s="655" t="e">
        <f>IF(AND(#REF!="Baja",#REF!="Menor"),CONCATENATE("R",#REF!),"")</f>
        <v>#REF!</v>
      </c>
      <c r="U30" s="657"/>
      <c r="V30" s="668" t="e">
        <f>IF(AND(#REF!="Baja",#REF!="Moderado"),CONCATENATE("R",#REF!),"")</f>
        <v>#REF!</v>
      </c>
      <c r="W30" s="656"/>
      <c r="X30" s="655" t="e">
        <f>IF(AND(#REF!="Baja",#REF!="Moderado"),CONCATENATE("R",#REF!),"")</f>
        <v>#REF!</v>
      </c>
      <c r="Y30" s="656"/>
      <c r="Z30" s="655" t="e">
        <f>IF(AND(#REF!="Baja",#REF!="Moderado"),CONCATENATE("R",#REF!),"")</f>
        <v>#REF!</v>
      </c>
      <c r="AA30" s="657"/>
      <c r="AB30" s="658" t="e">
        <f>IF(AND(#REF!="Baja",#REF!="Mayor"),CONCATENATE("R",#REF!),"")</f>
        <v>#REF!</v>
      </c>
      <c r="AC30" s="656"/>
      <c r="AD30" s="660" t="e">
        <f>IF(AND(#REF!="Baja",#REF!="Mayor"),CONCATENATE("R",#REF!),"")</f>
        <v>#REF!</v>
      </c>
      <c r="AE30" s="656"/>
      <c r="AF30" s="660" t="e">
        <f>IF(AND(#REF!="Baja",#REF!="Mayor"),CONCATENATE("R",#REF!),"")</f>
        <v>#REF!</v>
      </c>
      <c r="AG30" s="657"/>
      <c r="AH30" s="674" t="e">
        <f>IF(AND(#REF!="Baja",#REF!="Catastrófico"),CONCATENATE("R",#REF!),"")</f>
        <v>#REF!</v>
      </c>
      <c r="AI30" s="656"/>
      <c r="AJ30" s="661" t="e">
        <f>IF(AND(#REF!="Baja",#REF!="Catastrófico"),CONCATENATE("R",#REF!),"")</f>
        <v>#REF!</v>
      </c>
      <c r="AK30" s="656"/>
      <c r="AL30" s="661" t="e">
        <f>IF(AND(#REF!="Baja",#REF!="Catastrófico"),CONCATENATE("R",#REF!),"")</f>
        <v>#REF!</v>
      </c>
      <c r="AM30" s="657"/>
      <c r="AN30" s="115"/>
      <c r="AO30" s="689" t="s">
        <v>10</v>
      </c>
      <c r="AP30" s="682"/>
      <c r="AQ30" s="682"/>
      <c r="AR30" s="682"/>
      <c r="AS30" s="682"/>
      <c r="AT30" s="683"/>
      <c r="AU30" s="115"/>
      <c r="AV30" s="115"/>
      <c r="AW30" s="115"/>
      <c r="AX30" s="115"/>
      <c r="AY30" s="115"/>
      <c r="AZ30" s="115"/>
      <c r="BA30" s="115"/>
      <c r="BB30" s="115"/>
      <c r="BC30" s="115"/>
      <c r="BD30" s="115"/>
      <c r="BE30" s="115"/>
      <c r="BF30" s="115"/>
      <c r="BG30" s="115"/>
      <c r="BH30" s="115"/>
      <c r="BI30" s="115"/>
    </row>
    <row r="31" spans="1:61" ht="15.75" customHeight="1" x14ac:dyDescent="0.25">
      <c r="A31" s="115"/>
      <c r="B31" s="654"/>
      <c r="C31" s="670"/>
      <c r="D31" s="653"/>
      <c r="E31" s="659"/>
      <c r="F31" s="670"/>
      <c r="G31" s="670"/>
      <c r="H31" s="670"/>
      <c r="I31" s="670"/>
      <c r="J31" s="659"/>
      <c r="K31" s="654"/>
      <c r="L31" s="654"/>
      <c r="M31" s="654"/>
      <c r="N31" s="654"/>
      <c r="O31" s="653"/>
      <c r="P31" s="654"/>
      <c r="Q31" s="654"/>
      <c r="R31" s="654"/>
      <c r="S31" s="654"/>
      <c r="T31" s="654"/>
      <c r="U31" s="653"/>
      <c r="V31" s="659"/>
      <c r="W31" s="654"/>
      <c r="X31" s="654"/>
      <c r="Y31" s="654"/>
      <c r="Z31" s="654"/>
      <c r="AA31" s="653"/>
      <c r="AB31" s="659"/>
      <c r="AC31" s="654"/>
      <c r="AD31" s="654"/>
      <c r="AE31" s="654"/>
      <c r="AF31" s="654"/>
      <c r="AG31" s="653"/>
      <c r="AH31" s="659"/>
      <c r="AI31" s="654"/>
      <c r="AJ31" s="654"/>
      <c r="AK31" s="654"/>
      <c r="AL31" s="654"/>
      <c r="AM31" s="653"/>
      <c r="AN31" s="115"/>
      <c r="AO31" s="684"/>
      <c r="AP31" s="670"/>
      <c r="AQ31" s="670"/>
      <c r="AR31" s="670"/>
      <c r="AS31" s="670"/>
      <c r="AT31" s="685"/>
      <c r="AU31" s="115"/>
      <c r="AV31" s="115"/>
      <c r="AW31" s="115"/>
      <c r="AX31" s="115"/>
      <c r="AY31" s="115"/>
      <c r="AZ31" s="115"/>
      <c r="BA31" s="115"/>
      <c r="BB31" s="115"/>
      <c r="BC31" s="115"/>
      <c r="BD31" s="115"/>
      <c r="BE31" s="115"/>
      <c r="BF31" s="115"/>
      <c r="BG31" s="115"/>
      <c r="BH31" s="115"/>
      <c r="BI31" s="115"/>
    </row>
    <row r="32" spans="1:61" ht="15.75" customHeight="1" x14ac:dyDescent="0.25">
      <c r="A32" s="115"/>
      <c r="B32" s="654"/>
      <c r="C32" s="670"/>
      <c r="D32" s="653"/>
      <c r="E32" s="659"/>
      <c r="F32" s="670"/>
      <c r="G32" s="670"/>
      <c r="H32" s="670"/>
      <c r="I32" s="670"/>
      <c r="J32" s="675" t="e">
        <f>IF(AND(#REF!="Baja",#REF!="Leve"),CONCATENATE("R",#REF!),"")</f>
        <v>#REF!</v>
      </c>
      <c r="K32" s="654"/>
      <c r="L32" s="662" t="e">
        <f>IF(AND(#REF!="Baja",#REF!="Leve"),CONCATENATE("R",#REF!),"")</f>
        <v>#REF!</v>
      </c>
      <c r="M32" s="654"/>
      <c r="N32" s="662" t="e">
        <f>IF(AND(#REF!="Baja",#REF!="Leve"),CONCATENATE("R",#REF!),"")</f>
        <v>#REF!</v>
      </c>
      <c r="O32" s="653"/>
      <c r="P32" s="652" t="e">
        <f>IF(AND(#REF!="Baja",#REF!="Menor"),CONCATENATE("R",#REF!),"")</f>
        <v>#REF!</v>
      </c>
      <c r="Q32" s="654"/>
      <c r="R32" s="652" t="e">
        <f>IF(AND(#REF!="Baja",#REF!="Menor"),CONCATENATE("R",#REF!),"")</f>
        <v>#REF!</v>
      </c>
      <c r="S32" s="654"/>
      <c r="T32" s="652" t="e">
        <f>IF(AND(#REF!="Baja",#REF!="Menor"),CONCATENATE("R",#REF!),"")</f>
        <v>#REF!</v>
      </c>
      <c r="U32" s="653"/>
      <c r="V32" s="663" t="e">
        <f>IF(AND(#REF!="Baja",#REF!="Moderado"),CONCATENATE("R",#REF!),"")</f>
        <v>#REF!</v>
      </c>
      <c r="W32" s="654"/>
      <c r="X32" s="652" t="e">
        <f>IF(AND(#REF!="Baja",#REF!="Moderado"),CONCATENATE("R",#REF!),"")</f>
        <v>#REF!</v>
      </c>
      <c r="Y32" s="654"/>
      <c r="Z32" s="652" t="e">
        <f>IF(AND(#REF!="Baja",#REF!="Moderado"),CONCATENATE("R",#REF!),"")</f>
        <v>#REF!</v>
      </c>
      <c r="AA32" s="653"/>
      <c r="AB32" s="664" t="e">
        <f>IF(AND(#REF!="Baja",#REF!="Mayor"),CONCATENATE("R",#REF!),"")</f>
        <v>#REF!</v>
      </c>
      <c r="AC32" s="654"/>
      <c r="AD32" s="665" t="e">
        <f>IF(AND(#REF!="Baja",#REF!="Mayor"),CONCATENATE("R",#REF!),"")</f>
        <v>#REF!</v>
      </c>
      <c r="AE32" s="654"/>
      <c r="AF32" s="665" t="e">
        <f>IF(AND(#REF!="Baja",#REF!="Mayor"),CONCATENATE("R",#REF!),"")</f>
        <v>#REF!</v>
      </c>
      <c r="AG32" s="653"/>
      <c r="AH32" s="666" t="e">
        <f>IF(AND(#REF!="Baja",#REF!="Catastrófico"),CONCATENATE("R",#REF!),"")</f>
        <v>#REF!</v>
      </c>
      <c r="AI32" s="654"/>
      <c r="AJ32" s="667" t="e">
        <f>IF(AND(#REF!="Baja",#REF!="Catastrófico"),CONCATENATE("R",#REF!),"")</f>
        <v>#REF!</v>
      </c>
      <c r="AK32" s="654"/>
      <c r="AL32" s="667" t="e">
        <f>IF(AND(#REF!="Baja",#REF!="Catastrófico"),CONCATENATE("R",#REF!),"")</f>
        <v>#REF!</v>
      </c>
      <c r="AM32" s="653"/>
      <c r="AN32" s="115"/>
      <c r="AO32" s="684"/>
      <c r="AP32" s="670"/>
      <c r="AQ32" s="670"/>
      <c r="AR32" s="670"/>
      <c r="AS32" s="670"/>
      <c r="AT32" s="685"/>
      <c r="AU32" s="115"/>
      <c r="AV32" s="115"/>
      <c r="AW32" s="115"/>
      <c r="AX32" s="115"/>
      <c r="AY32" s="115"/>
      <c r="AZ32" s="115"/>
      <c r="BA32" s="115"/>
      <c r="BB32" s="115"/>
      <c r="BC32" s="115"/>
      <c r="BD32" s="115"/>
      <c r="BE32" s="115"/>
      <c r="BF32" s="115"/>
      <c r="BG32" s="115"/>
      <c r="BH32" s="115"/>
      <c r="BI32" s="115"/>
    </row>
    <row r="33" spans="1:61" ht="15.75" customHeight="1" x14ac:dyDescent="0.25">
      <c r="A33" s="115"/>
      <c r="B33" s="654"/>
      <c r="C33" s="670"/>
      <c r="D33" s="653"/>
      <c r="E33" s="659"/>
      <c r="F33" s="670"/>
      <c r="G33" s="670"/>
      <c r="H33" s="670"/>
      <c r="I33" s="670"/>
      <c r="J33" s="659"/>
      <c r="K33" s="654"/>
      <c r="L33" s="654"/>
      <c r="M33" s="654"/>
      <c r="N33" s="654"/>
      <c r="O33" s="653"/>
      <c r="P33" s="654"/>
      <c r="Q33" s="654"/>
      <c r="R33" s="654"/>
      <c r="S33" s="654"/>
      <c r="T33" s="654"/>
      <c r="U33" s="653"/>
      <c r="V33" s="659"/>
      <c r="W33" s="654"/>
      <c r="X33" s="654"/>
      <c r="Y33" s="654"/>
      <c r="Z33" s="654"/>
      <c r="AA33" s="653"/>
      <c r="AB33" s="659"/>
      <c r="AC33" s="654"/>
      <c r="AD33" s="654"/>
      <c r="AE33" s="654"/>
      <c r="AF33" s="654"/>
      <c r="AG33" s="653"/>
      <c r="AH33" s="659"/>
      <c r="AI33" s="654"/>
      <c r="AJ33" s="654"/>
      <c r="AK33" s="654"/>
      <c r="AL33" s="654"/>
      <c r="AM33" s="653"/>
      <c r="AN33" s="115"/>
      <c r="AO33" s="684"/>
      <c r="AP33" s="670"/>
      <c r="AQ33" s="670"/>
      <c r="AR33" s="670"/>
      <c r="AS33" s="670"/>
      <c r="AT33" s="685"/>
      <c r="AU33" s="115"/>
      <c r="AV33" s="115"/>
      <c r="AW33" s="115"/>
      <c r="AX33" s="115"/>
      <c r="AY33" s="115"/>
      <c r="AZ33" s="115"/>
      <c r="BA33" s="115"/>
      <c r="BB33" s="115"/>
      <c r="BC33" s="115"/>
      <c r="BD33" s="115"/>
      <c r="BE33" s="115"/>
      <c r="BF33" s="115"/>
      <c r="BG33" s="115"/>
      <c r="BH33" s="115"/>
      <c r="BI33" s="115"/>
    </row>
    <row r="34" spans="1:61" ht="15.75" customHeight="1" x14ac:dyDescent="0.25">
      <c r="A34" s="115"/>
      <c r="B34" s="654"/>
      <c r="C34" s="670"/>
      <c r="D34" s="653"/>
      <c r="E34" s="659"/>
      <c r="F34" s="670"/>
      <c r="G34" s="670"/>
      <c r="H34" s="670"/>
      <c r="I34" s="670"/>
      <c r="J34" s="675" t="e">
        <f>IF(AND(#REF!="Baja",#REF!="Leve"),CONCATENATE("R",#REF!),"")</f>
        <v>#REF!</v>
      </c>
      <c r="K34" s="654"/>
      <c r="L34" s="662" t="e">
        <f>IF(AND(#REF!="Baja",#REF!="Leve"),CONCATENATE("R",#REF!),"")</f>
        <v>#REF!</v>
      </c>
      <c r="M34" s="654"/>
      <c r="N34" s="662" t="e">
        <f>IF(AND(#REF!="Baja",#REF!="Leve"),CONCATENATE("R",#REF!),"")</f>
        <v>#REF!</v>
      </c>
      <c r="O34" s="653"/>
      <c r="P34" s="652" t="e">
        <f>IF(AND(#REF!="Baja",#REF!="Menor"),CONCATENATE("R",#REF!),"")</f>
        <v>#REF!</v>
      </c>
      <c r="Q34" s="654"/>
      <c r="R34" s="652" t="e">
        <f>IF(AND(#REF!="Baja",#REF!="Menor"),CONCATENATE("R",#REF!),"")</f>
        <v>#REF!</v>
      </c>
      <c r="S34" s="654"/>
      <c r="T34" s="652" t="e">
        <f>IF(AND(#REF!="Baja",#REF!="Menor"),CONCATENATE("R",#REF!),"")</f>
        <v>#REF!</v>
      </c>
      <c r="U34" s="653"/>
      <c r="V34" s="663" t="e">
        <f>IF(AND(#REF!="Baja",#REF!="Moderado"),CONCATENATE("R",#REF!),"")</f>
        <v>#REF!</v>
      </c>
      <c r="W34" s="654"/>
      <c r="X34" s="652" t="e">
        <f>IF(AND(#REF!="Baja",#REF!="Moderado"),CONCATENATE("R",#REF!),"")</f>
        <v>#REF!</v>
      </c>
      <c r="Y34" s="654"/>
      <c r="Z34" s="652" t="e">
        <f>IF(AND(#REF!="Baja",#REF!="Moderado"),CONCATENATE("R",#REF!),"")</f>
        <v>#REF!</v>
      </c>
      <c r="AA34" s="653"/>
      <c r="AB34" s="664" t="e">
        <f>IF(AND(#REF!="Baja",#REF!="Mayor"),CONCATENATE("R",#REF!),"")</f>
        <v>#REF!</v>
      </c>
      <c r="AC34" s="654"/>
      <c r="AD34" s="665" t="e">
        <f>IF(AND(#REF!="Baja",#REF!="Mayor"),CONCATENATE("R",#REF!),"")</f>
        <v>#REF!</v>
      </c>
      <c r="AE34" s="654"/>
      <c r="AF34" s="665" t="e">
        <f>IF(AND(#REF!="Baja",#REF!="Mayor"),CONCATENATE("R",#REF!),"")</f>
        <v>#REF!</v>
      </c>
      <c r="AG34" s="653"/>
      <c r="AH34" s="666" t="e">
        <f>IF(AND(#REF!="Baja",#REF!="Catastrófico"),CONCATENATE("R",#REF!),"")</f>
        <v>#REF!</v>
      </c>
      <c r="AI34" s="654"/>
      <c r="AJ34" s="667" t="e">
        <f>IF(AND(#REF!="Baja",#REF!="Catastrófico"),CONCATENATE("R",#REF!),"")</f>
        <v>#REF!</v>
      </c>
      <c r="AK34" s="654"/>
      <c r="AL34" s="667" t="e">
        <f>IF(AND(#REF!="Baja",#REF!="Catastrófico"),CONCATENATE("R",#REF!),"")</f>
        <v>#REF!</v>
      </c>
      <c r="AM34" s="653"/>
      <c r="AN34" s="115"/>
      <c r="AO34" s="684"/>
      <c r="AP34" s="670"/>
      <c r="AQ34" s="670"/>
      <c r="AR34" s="670"/>
      <c r="AS34" s="670"/>
      <c r="AT34" s="685"/>
      <c r="AU34" s="115"/>
      <c r="AV34" s="115"/>
      <c r="AW34" s="115"/>
      <c r="AX34" s="115"/>
      <c r="AY34" s="115"/>
      <c r="AZ34" s="115"/>
      <c r="BA34" s="115"/>
      <c r="BB34" s="115"/>
      <c r="BC34" s="115"/>
      <c r="BD34" s="115"/>
      <c r="BE34" s="115"/>
      <c r="BF34" s="115"/>
      <c r="BG34" s="115"/>
      <c r="BH34" s="115"/>
      <c r="BI34" s="115"/>
    </row>
    <row r="35" spans="1:61" ht="15.75" customHeight="1" x14ac:dyDescent="0.25">
      <c r="A35" s="115"/>
      <c r="B35" s="654"/>
      <c r="C35" s="670"/>
      <c r="D35" s="653"/>
      <c r="E35" s="659"/>
      <c r="F35" s="670"/>
      <c r="G35" s="670"/>
      <c r="H35" s="670"/>
      <c r="I35" s="670"/>
      <c r="J35" s="659"/>
      <c r="K35" s="654"/>
      <c r="L35" s="654"/>
      <c r="M35" s="654"/>
      <c r="N35" s="654"/>
      <c r="O35" s="653"/>
      <c r="P35" s="654"/>
      <c r="Q35" s="654"/>
      <c r="R35" s="654"/>
      <c r="S35" s="654"/>
      <c r="T35" s="654"/>
      <c r="U35" s="653"/>
      <c r="V35" s="659"/>
      <c r="W35" s="654"/>
      <c r="X35" s="654"/>
      <c r="Y35" s="654"/>
      <c r="Z35" s="654"/>
      <c r="AA35" s="653"/>
      <c r="AB35" s="659"/>
      <c r="AC35" s="654"/>
      <c r="AD35" s="654"/>
      <c r="AE35" s="654"/>
      <c r="AF35" s="654"/>
      <c r="AG35" s="653"/>
      <c r="AH35" s="659"/>
      <c r="AI35" s="654"/>
      <c r="AJ35" s="654"/>
      <c r="AK35" s="654"/>
      <c r="AL35" s="654"/>
      <c r="AM35" s="653"/>
      <c r="AN35" s="115"/>
      <c r="AO35" s="684"/>
      <c r="AP35" s="670"/>
      <c r="AQ35" s="670"/>
      <c r="AR35" s="670"/>
      <c r="AS35" s="670"/>
      <c r="AT35" s="685"/>
      <c r="AU35" s="115"/>
      <c r="AV35" s="115"/>
      <c r="AW35" s="115"/>
      <c r="AX35" s="115"/>
      <c r="AY35" s="115"/>
      <c r="AZ35" s="115"/>
      <c r="BA35" s="115"/>
      <c r="BB35" s="115"/>
      <c r="BC35" s="115"/>
      <c r="BD35" s="115"/>
      <c r="BE35" s="115"/>
      <c r="BF35" s="115"/>
      <c r="BG35" s="115"/>
      <c r="BH35" s="115"/>
      <c r="BI35" s="115"/>
    </row>
    <row r="36" spans="1:61" ht="15.75" customHeight="1" x14ac:dyDescent="0.25">
      <c r="A36" s="115"/>
      <c r="B36" s="654"/>
      <c r="C36" s="670"/>
      <c r="D36" s="653"/>
      <c r="E36" s="659"/>
      <c r="F36" s="670"/>
      <c r="G36" s="670"/>
      <c r="H36" s="670"/>
      <c r="I36" s="670"/>
      <c r="J36" s="675" t="e">
        <f>IF(AND(#REF!="Baja",#REF!="Leve"),CONCATENATE("R",#REF!),"")</f>
        <v>#REF!</v>
      </c>
      <c r="K36" s="654"/>
      <c r="L36" s="662" t="e">
        <f>IF(AND(#REF!="Baja",#REF!="Leve"),CONCATENATE("R",#REF!),"")</f>
        <v>#REF!</v>
      </c>
      <c r="M36" s="654"/>
      <c r="N36" s="662" t="e">
        <f>IF(AND(#REF!="Baja",#REF!="Leve"),CONCATENATE("R",#REF!),"")</f>
        <v>#REF!</v>
      </c>
      <c r="O36" s="653"/>
      <c r="P36" s="652" t="e">
        <f>IF(AND(#REF!="Baja",#REF!="Menor"),CONCATENATE("R",#REF!),"")</f>
        <v>#REF!</v>
      </c>
      <c r="Q36" s="654"/>
      <c r="R36" s="652" t="e">
        <f>IF(AND(#REF!="Baja",#REF!="Menor"),CONCATENATE("R",#REF!),"")</f>
        <v>#REF!</v>
      </c>
      <c r="S36" s="654"/>
      <c r="T36" s="652" t="e">
        <f>IF(AND(#REF!="Baja",#REF!="Menor"),CONCATENATE("R",#REF!),"")</f>
        <v>#REF!</v>
      </c>
      <c r="U36" s="653"/>
      <c r="V36" s="663" t="e">
        <f>IF(AND(#REF!="Baja",#REF!="Moderado"),CONCATENATE("R",#REF!),"")</f>
        <v>#REF!</v>
      </c>
      <c r="W36" s="654"/>
      <c r="X36" s="652" t="e">
        <f>IF(AND(#REF!="Baja",#REF!="Moderado"),CONCATENATE("R",#REF!),"")</f>
        <v>#REF!</v>
      </c>
      <c r="Y36" s="654"/>
      <c r="Z36" s="652" t="e">
        <f>IF(AND(#REF!="Baja",#REF!="Moderado"),CONCATENATE("R",#REF!),"")</f>
        <v>#REF!</v>
      </c>
      <c r="AA36" s="653"/>
      <c r="AB36" s="664" t="e">
        <f>IF(AND(#REF!="Baja",#REF!="Mayor"),CONCATENATE("R",#REF!),"")</f>
        <v>#REF!</v>
      </c>
      <c r="AC36" s="654"/>
      <c r="AD36" s="665" t="e">
        <f>IF(AND(#REF!="Baja",#REF!="Mayor"),CONCATENATE("R",#REF!),"")</f>
        <v>#REF!</v>
      </c>
      <c r="AE36" s="654"/>
      <c r="AF36" s="665" t="e">
        <f>IF(AND(#REF!="Baja",#REF!="Mayor"),CONCATENATE("R",#REF!),"")</f>
        <v>#REF!</v>
      </c>
      <c r="AG36" s="653"/>
      <c r="AH36" s="666" t="e">
        <f>IF(AND(#REF!="Baja",#REF!="Catastrófico"),CONCATENATE("R",#REF!),"")</f>
        <v>#REF!</v>
      </c>
      <c r="AI36" s="654"/>
      <c r="AJ36" s="667" t="e">
        <f>IF(AND(#REF!="Baja",#REF!="Catastrófico"),CONCATENATE("R",#REF!),"")</f>
        <v>#REF!</v>
      </c>
      <c r="AK36" s="654"/>
      <c r="AL36" s="667" t="e">
        <f>IF(AND(#REF!="Baja",#REF!="Catastrófico"),CONCATENATE("R",#REF!),"")</f>
        <v>#REF!</v>
      </c>
      <c r="AM36" s="653"/>
      <c r="AN36" s="115"/>
      <c r="AO36" s="684"/>
      <c r="AP36" s="670"/>
      <c r="AQ36" s="670"/>
      <c r="AR36" s="670"/>
      <c r="AS36" s="670"/>
      <c r="AT36" s="685"/>
      <c r="AU36" s="115"/>
      <c r="AV36" s="115"/>
      <c r="AW36" s="115"/>
      <c r="AX36" s="115"/>
      <c r="AY36" s="115"/>
      <c r="AZ36" s="115"/>
      <c r="BA36" s="115"/>
      <c r="BB36" s="115"/>
      <c r="BC36" s="115"/>
      <c r="BD36" s="115"/>
      <c r="BE36" s="115"/>
      <c r="BF36" s="115"/>
      <c r="BG36" s="115"/>
      <c r="BH36" s="115"/>
      <c r="BI36" s="115"/>
    </row>
    <row r="37" spans="1:61" ht="15.75" customHeight="1" thickBot="1" x14ac:dyDescent="0.3">
      <c r="A37" s="115"/>
      <c r="B37" s="654"/>
      <c r="C37" s="670"/>
      <c r="D37" s="653"/>
      <c r="E37" s="671"/>
      <c r="F37" s="672"/>
      <c r="G37" s="672"/>
      <c r="H37" s="672"/>
      <c r="I37" s="672"/>
      <c r="J37" s="671"/>
      <c r="K37" s="672"/>
      <c r="L37" s="672"/>
      <c r="M37" s="672"/>
      <c r="N37" s="672"/>
      <c r="O37" s="673"/>
      <c r="P37" s="672"/>
      <c r="Q37" s="672"/>
      <c r="R37" s="672"/>
      <c r="S37" s="672"/>
      <c r="T37" s="672"/>
      <c r="U37" s="673"/>
      <c r="V37" s="671"/>
      <c r="W37" s="672"/>
      <c r="X37" s="672"/>
      <c r="Y37" s="672"/>
      <c r="Z37" s="672"/>
      <c r="AA37" s="673"/>
      <c r="AB37" s="671"/>
      <c r="AC37" s="672"/>
      <c r="AD37" s="672"/>
      <c r="AE37" s="672"/>
      <c r="AF37" s="672"/>
      <c r="AG37" s="673"/>
      <c r="AH37" s="671"/>
      <c r="AI37" s="672"/>
      <c r="AJ37" s="672"/>
      <c r="AK37" s="672"/>
      <c r="AL37" s="672"/>
      <c r="AM37" s="673"/>
      <c r="AN37" s="115"/>
      <c r="AO37" s="686"/>
      <c r="AP37" s="687"/>
      <c r="AQ37" s="687"/>
      <c r="AR37" s="687"/>
      <c r="AS37" s="687"/>
      <c r="AT37" s="688"/>
      <c r="AU37" s="115"/>
      <c r="AV37" s="115"/>
      <c r="AW37" s="115"/>
      <c r="AX37" s="115"/>
      <c r="AY37" s="115"/>
      <c r="AZ37" s="115"/>
      <c r="BA37" s="115"/>
      <c r="BB37" s="115"/>
      <c r="BC37" s="115"/>
      <c r="BD37" s="115"/>
      <c r="BE37" s="115"/>
      <c r="BF37" s="115"/>
      <c r="BG37" s="115"/>
      <c r="BH37" s="115"/>
      <c r="BI37" s="115"/>
    </row>
    <row r="38" spans="1:61" ht="15.75" customHeight="1" x14ac:dyDescent="0.25">
      <c r="A38" s="115"/>
      <c r="B38" s="654"/>
      <c r="C38" s="670"/>
      <c r="D38" s="653"/>
      <c r="E38" s="669" t="s">
        <v>11</v>
      </c>
      <c r="F38" s="656"/>
      <c r="G38" s="656"/>
      <c r="H38" s="656"/>
      <c r="I38" s="657"/>
      <c r="J38" s="680" t="e">
        <f>IF(AND(#REF!="Muy Baja",#REF!="Leve"),CONCATENATE("R",#REF!),"")</f>
        <v>#REF!</v>
      </c>
      <c r="K38" s="656"/>
      <c r="L38" s="679" t="e">
        <f>IF(AND(#REF!="Muy Baja",#REF!="Leve"),CONCATENATE("R",#REF!),"")</f>
        <v>#REF!</v>
      </c>
      <c r="M38" s="656"/>
      <c r="N38" s="679" t="e">
        <f>IF(AND(#REF!="Muy Baja",#REF!="Leve"),CONCATENATE("R",#REF!),"")</f>
        <v>#REF!</v>
      </c>
      <c r="O38" s="657"/>
      <c r="P38" s="680" t="e">
        <f>IF(AND(#REF!="Muy Baja",#REF!="Menor"),CONCATENATE("R",#REF!),"")</f>
        <v>#REF!</v>
      </c>
      <c r="Q38" s="656"/>
      <c r="R38" s="679" t="e">
        <f>IF(AND(#REF!="Muy Baja",#REF!="Menor"),CONCATENATE("R",#REF!),"")</f>
        <v>#REF!</v>
      </c>
      <c r="S38" s="656"/>
      <c r="T38" s="679" t="e">
        <f>IF(AND(#REF!="Muy Baja",#REF!="Menor"),CONCATENATE("R",#REF!),"")</f>
        <v>#REF!</v>
      </c>
      <c r="U38" s="657"/>
      <c r="V38" s="668" t="e">
        <f>IF(AND(#REF!="Muy Baja",#REF!="Moderado"),CONCATENATE("R",#REF!),"")</f>
        <v>#REF!</v>
      </c>
      <c r="W38" s="656"/>
      <c r="X38" s="655" t="e">
        <f>IF(AND(#REF!="Muy Baja",#REF!="Moderado"),CONCATENATE("R",#REF!),"")</f>
        <v>#REF!</v>
      </c>
      <c r="Y38" s="656"/>
      <c r="Z38" s="655" t="e">
        <f>IF(AND(#REF!="Muy Baja",#REF!="Moderado"),CONCATENATE("R",#REF!),"")</f>
        <v>#REF!</v>
      </c>
      <c r="AA38" s="657"/>
      <c r="AB38" s="658" t="e">
        <f>IF(AND(#REF!="Muy Baja",#REF!="Mayor"),CONCATENATE("R",#REF!),"")</f>
        <v>#REF!</v>
      </c>
      <c r="AC38" s="656"/>
      <c r="AD38" s="660" t="e">
        <f>IF(AND(#REF!="Muy Baja",#REF!="Mayor"),CONCATENATE("R",#REF!),"")</f>
        <v>#REF!</v>
      </c>
      <c r="AE38" s="656"/>
      <c r="AF38" s="660" t="e">
        <f>IF(AND(#REF!="Muy Baja",#REF!="Mayor"),CONCATENATE("R",#REF!),"")</f>
        <v>#REF!</v>
      </c>
      <c r="AG38" s="657"/>
      <c r="AH38" s="674" t="e">
        <f>IF(AND(#REF!="Muy Baja",#REF!="Catastrófico"),CONCATENATE("R",#REF!),"")</f>
        <v>#REF!</v>
      </c>
      <c r="AI38" s="656"/>
      <c r="AJ38" s="661" t="e">
        <f>IF(AND(#REF!="Muy Baja",#REF!="Catastrófico"),CONCATENATE("R",#REF!),"")</f>
        <v>#REF!</v>
      </c>
      <c r="AK38" s="656"/>
      <c r="AL38" s="661" t="e">
        <f>IF(AND(#REF!="Muy Baja",#REF!="Catastrófico"),CONCATENATE("R",#REF!),"")</f>
        <v>#REF!</v>
      </c>
      <c r="AM38" s="657"/>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row>
    <row r="39" spans="1:61" ht="15.75" customHeight="1" x14ac:dyDescent="0.25">
      <c r="A39" s="115"/>
      <c r="B39" s="654"/>
      <c r="C39" s="670"/>
      <c r="D39" s="653"/>
      <c r="E39" s="659"/>
      <c r="F39" s="670"/>
      <c r="G39" s="670"/>
      <c r="H39" s="670"/>
      <c r="I39" s="653"/>
      <c r="J39" s="659"/>
      <c r="K39" s="654"/>
      <c r="L39" s="654"/>
      <c r="M39" s="654"/>
      <c r="N39" s="654"/>
      <c r="O39" s="653"/>
      <c r="P39" s="659"/>
      <c r="Q39" s="654"/>
      <c r="R39" s="654"/>
      <c r="S39" s="654"/>
      <c r="T39" s="654"/>
      <c r="U39" s="653"/>
      <c r="V39" s="659"/>
      <c r="W39" s="654"/>
      <c r="X39" s="654"/>
      <c r="Y39" s="654"/>
      <c r="Z39" s="654"/>
      <c r="AA39" s="653"/>
      <c r="AB39" s="659"/>
      <c r="AC39" s="654"/>
      <c r="AD39" s="654"/>
      <c r="AE39" s="654"/>
      <c r="AF39" s="654"/>
      <c r="AG39" s="653"/>
      <c r="AH39" s="659"/>
      <c r="AI39" s="654"/>
      <c r="AJ39" s="654"/>
      <c r="AK39" s="654"/>
      <c r="AL39" s="654"/>
      <c r="AM39" s="653"/>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row>
    <row r="40" spans="1:61" ht="15.75" customHeight="1" x14ac:dyDescent="0.25">
      <c r="A40" s="115"/>
      <c r="B40" s="654"/>
      <c r="C40" s="670"/>
      <c r="D40" s="653"/>
      <c r="E40" s="659"/>
      <c r="F40" s="670"/>
      <c r="G40" s="670"/>
      <c r="H40" s="670"/>
      <c r="I40" s="653"/>
      <c r="J40" s="675" t="e">
        <f>IF(AND(#REF!="Muy Baja",#REF!="Leve"),CONCATENATE("R",#REF!),"")</f>
        <v>#REF!</v>
      </c>
      <c r="K40" s="654"/>
      <c r="L40" s="662" t="e">
        <f>IF(AND(#REF!="Muy Baja",#REF!="Leve"),CONCATENATE("R",#REF!),"")</f>
        <v>#REF!</v>
      </c>
      <c r="M40" s="654"/>
      <c r="N40" s="662" t="e">
        <f>IF(AND(#REF!="Muy Baja",#REF!="Leve"),CONCATENATE("R",#REF!),"")</f>
        <v>#REF!</v>
      </c>
      <c r="O40" s="653"/>
      <c r="P40" s="675" t="e">
        <f>IF(AND(#REF!="Muy Baja",#REF!="Menor"),CONCATENATE("R",#REF!),"")</f>
        <v>#REF!</v>
      </c>
      <c r="Q40" s="654"/>
      <c r="R40" s="662" t="e">
        <f>IF(AND(#REF!="Muy Baja",#REF!="Menor"),CONCATENATE("R",#REF!),"")</f>
        <v>#REF!</v>
      </c>
      <c r="S40" s="654"/>
      <c r="T40" s="662" t="e">
        <f>IF(AND(#REF!="Muy Baja",#REF!="Menor"),CONCATENATE("R",#REF!),"")</f>
        <v>#REF!</v>
      </c>
      <c r="U40" s="653"/>
      <c r="V40" s="663" t="e">
        <f>IF(AND(#REF!="Muy Baja",#REF!="Moderado"),CONCATENATE("R",#REF!),"")</f>
        <v>#REF!</v>
      </c>
      <c r="W40" s="654"/>
      <c r="X40" s="652" t="e">
        <f>IF(AND(#REF!="Muy Baja",#REF!="Moderado"),CONCATENATE("R",#REF!),"")</f>
        <v>#REF!</v>
      </c>
      <c r="Y40" s="654"/>
      <c r="Z40" s="652" t="e">
        <f>IF(AND(#REF!="Muy Baja",#REF!="Moderado"),CONCATENATE("R",#REF!),"")</f>
        <v>#REF!</v>
      </c>
      <c r="AA40" s="653"/>
      <c r="AB40" s="664" t="e">
        <f>IF(AND(#REF!="Muy Baja",#REF!="Mayor"),CONCATENATE("R",#REF!),"")</f>
        <v>#REF!</v>
      </c>
      <c r="AC40" s="654"/>
      <c r="AD40" s="665" t="e">
        <f>IF(AND(#REF!="Muy Baja",#REF!="Mayor"),CONCATENATE("R",#REF!),"")</f>
        <v>#REF!</v>
      </c>
      <c r="AE40" s="654"/>
      <c r="AF40" s="665" t="e">
        <f>IF(AND(#REF!="Muy Baja",#REF!="Mayor"),CONCATENATE("R",#REF!),"")</f>
        <v>#REF!</v>
      </c>
      <c r="AG40" s="653"/>
      <c r="AH40" s="666" t="e">
        <f>IF(AND(#REF!="Muy Baja",#REF!="Catastrófico"),CONCATENATE("R",#REF!),"")</f>
        <v>#REF!</v>
      </c>
      <c r="AI40" s="654"/>
      <c r="AJ40" s="667" t="e">
        <f>IF(AND(#REF!="Muy Baja",#REF!="Catastrófico"),CONCATENATE("R",#REF!),"")</f>
        <v>#REF!</v>
      </c>
      <c r="AK40" s="654"/>
      <c r="AL40" s="667" t="e">
        <f>IF(AND(#REF!="Muy Baja",#REF!="Catastrófico"),CONCATENATE("R",#REF!),"")</f>
        <v>#REF!</v>
      </c>
      <c r="AM40" s="653"/>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row>
    <row r="41" spans="1:61" ht="15.75" customHeight="1" x14ac:dyDescent="0.25">
      <c r="A41" s="115"/>
      <c r="B41" s="654"/>
      <c r="C41" s="670"/>
      <c r="D41" s="653"/>
      <c r="E41" s="659"/>
      <c r="F41" s="670"/>
      <c r="G41" s="670"/>
      <c r="H41" s="670"/>
      <c r="I41" s="653"/>
      <c r="J41" s="659"/>
      <c r="K41" s="654"/>
      <c r="L41" s="654"/>
      <c r="M41" s="654"/>
      <c r="N41" s="654"/>
      <c r="O41" s="653"/>
      <c r="P41" s="659"/>
      <c r="Q41" s="654"/>
      <c r="R41" s="654"/>
      <c r="S41" s="654"/>
      <c r="T41" s="654"/>
      <c r="U41" s="653"/>
      <c r="V41" s="659"/>
      <c r="W41" s="654"/>
      <c r="X41" s="654"/>
      <c r="Y41" s="654"/>
      <c r="Z41" s="654"/>
      <c r="AA41" s="653"/>
      <c r="AB41" s="659"/>
      <c r="AC41" s="654"/>
      <c r="AD41" s="654"/>
      <c r="AE41" s="654"/>
      <c r="AF41" s="654"/>
      <c r="AG41" s="653"/>
      <c r="AH41" s="659"/>
      <c r="AI41" s="654"/>
      <c r="AJ41" s="654"/>
      <c r="AK41" s="654"/>
      <c r="AL41" s="654"/>
      <c r="AM41" s="653"/>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row>
    <row r="42" spans="1:61" ht="15.75" customHeight="1" x14ac:dyDescent="0.25">
      <c r="A42" s="115"/>
      <c r="B42" s="654"/>
      <c r="C42" s="670"/>
      <c r="D42" s="653"/>
      <c r="E42" s="659"/>
      <c r="F42" s="670"/>
      <c r="G42" s="670"/>
      <c r="H42" s="670"/>
      <c r="I42" s="653"/>
      <c r="J42" s="675" t="e">
        <f>IF(AND(#REF!="Muy Baja",#REF!="Leve"),CONCATENATE("R",#REF!),"")</f>
        <v>#REF!</v>
      </c>
      <c r="K42" s="654"/>
      <c r="L42" s="662" t="e">
        <f>IF(AND(#REF!="Muy Baja",#REF!="Leve"),CONCATENATE("R",#REF!),"")</f>
        <v>#REF!</v>
      </c>
      <c r="M42" s="654"/>
      <c r="N42" s="662" t="e">
        <f>IF(AND(#REF!="Muy Baja",#REF!="Leve"),CONCATENATE("R",#REF!),"")</f>
        <v>#REF!</v>
      </c>
      <c r="O42" s="653"/>
      <c r="P42" s="675" t="e">
        <f>IF(AND(#REF!="Muy Baja",#REF!="Menor"),CONCATENATE("R",#REF!),"")</f>
        <v>#REF!</v>
      </c>
      <c r="Q42" s="654"/>
      <c r="R42" s="662" t="e">
        <f>IF(AND(#REF!="Muy Baja",#REF!="Menor"),CONCATENATE("R",#REF!),"")</f>
        <v>#REF!</v>
      </c>
      <c r="S42" s="654"/>
      <c r="T42" s="662" t="e">
        <f>IF(AND(#REF!="Muy Baja",#REF!="Menor"),CONCATENATE("R",#REF!),"")</f>
        <v>#REF!</v>
      </c>
      <c r="U42" s="653"/>
      <c r="V42" s="663" t="e">
        <f>IF(AND(#REF!="Muy Baja",#REF!="Moderado"),CONCATENATE("R",#REF!),"")</f>
        <v>#REF!</v>
      </c>
      <c r="W42" s="654"/>
      <c r="X42" s="652" t="e">
        <f>IF(AND(#REF!="Muy Baja",#REF!="Moderado"),CONCATENATE("R",#REF!),"")</f>
        <v>#REF!</v>
      </c>
      <c r="Y42" s="654"/>
      <c r="Z42" s="652" t="e">
        <f>IF(AND(#REF!="Muy Baja",#REF!="Moderado"),CONCATENATE("R",#REF!),"")</f>
        <v>#REF!</v>
      </c>
      <c r="AA42" s="653"/>
      <c r="AB42" s="664" t="e">
        <f>IF(AND(#REF!="Muy Baja",#REF!="Mayor"),CONCATENATE("R",#REF!),"")</f>
        <v>#REF!</v>
      </c>
      <c r="AC42" s="654"/>
      <c r="AD42" s="665" t="e">
        <f>IF(AND(#REF!="Muy Baja",#REF!="Mayor"),CONCATENATE("R",#REF!),"")</f>
        <v>#REF!</v>
      </c>
      <c r="AE42" s="654"/>
      <c r="AF42" s="665" t="e">
        <f>IF(AND(#REF!="Muy Baja",#REF!="Mayor"),CONCATENATE("R",#REF!),"")</f>
        <v>#REF!</v>
      </c>
      <c r="AG42" s="653"/>
      <c r="AH42" s="666" t="e">
        <f>IF(AND(#REF!="Muy Baja",#REF!="Catastrófico"),CONCATENATE("R",#REF!),"")</f>
        <v>#REF!</v>
      </c>
      <c r="AI42" s="654"/>
      <c r="AJ42" s="667" t="e">
        <f>IF(AND(#REF!="Muy Baja",#REF!="Catastrófico"),CONCATENATE("R",#REF!),"")</f>
        <v>#REF!</v>
      </c>
      <c r="AK42" s="654"/>
      <c r="AL42" s="667" t="e">
        <f>IF(AND(#REF!="Muy Baja",#REF!="Catastrófico"),CONCATENATE("R",#REF!),"")</f>
        <v>#REF!</v>
      </c>
      <c r="AM42" s="653"/>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row>
    <row r="43" spans="1:61" ht="15.75" customHeight="1" x14ac:dyDescent="0.25">
      <c r="A43" s="115"/>
      <c r="B43" s="654"/>
      <c r="C43" s="670"/>
      <c r="D43" s="653"/>
      <c r="E43" s="659"/>
      <c r="F43" s="670"/>
      <c r="G43" s="670"/>
      <c r="H43" s="670"/>
      <c r="I43" s="653"/>
      <c r="J43" s="659"/>
      <c r="K43" s="654"/>
      <c r="L43" s="654"/>
      <c r="M43" s="654"/>
      <c r="N43" s="654"/>
      <c r="O43" s="653"/>
      <c r="P43" s="659"/>
      <c r="Q43" s="654"/>
      <c r="R43" s="654"/>
      <c r="S43" s="654"/>
      <c r="T43" s="654"/>
      <c r="U43" s="653"/>
      <c r="V43" s="659"/>
      <c r="W43" s="654"/>
      <c r="X43" s="654"/>
      <c r="Y43" s="654"/>
      <c r="Z43" s="654"/>
      <c r="AA43" s="653"/>
      <c r="AB43" s="659"/>
      <c r="AC43" s="654"/>
      <c r="AD43" s="654"/>
      <c r="AE43" s="654"/>
      <c r="AF43" s="654"/>
      <c r="AG43" s="653"/>
      <c r="AH43" s="659"/>
      <c r="AI43" s="654"/>
      <c r="AJ43" s="654"/>
      <c r="AK43" s="654"/>
      <c r="AL43" s="654"/>
      <c r="AM43" s="653"/>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row>
    <row r="44" spans="1:61" ht="15.75" customHeight="1" x14ac:dyDescent="0.25">
      <c r="A44" s="115"/>
      <c r="B44" s="654"/>
      <c r="C44" s="670"/>
      <c r="D44" s="653"/>
      <c r="E44" s="659"/>
      <c r="F44" s="670"/>
      <c r="G44" s="670"/>
      <c r="H44" s="670"/>
      <c r="I44" s="653"/>
      <c r="J44" s="675" t="e">
        <f>IF(AND(#REF!="Muy Baja",#REF!="Leve"),CONCATENATE("R",#REF!),"")</f>
        <v>#REF!</v>
      </c>
      <c r="K44" s="654"/>
      <c r="L44" s="662" t="e">
        <f>IF(AND(#REF!="Muy Baja",#REF!="Leve"),CONCATENATE("R",#REF!),"")</f>
        <v>#REF!</v>
      </c>
      <c r="M44" s="654"/>
      <c r="N44" s="662" t="e">
        <f>IF(AND(#REF!="Muy Baja",#REF!="Leve"),CONCATENATE("R",#REF!),"")</f>
        <v>#REF!</v>
      </c>
      <c r="O44" s="653"/>
      <c r="P44" s="675" t="e">
        <f>IF(AND(#REF!="Muy Baja",#REF!="Menor"),CONCATENATE("R",#REF!),"")</f>
        <v>#REF!</v>
      </c>
      <c r="Q44" s="654"/>
      <c r="R44" s="662" t="e">
        <f>IF(AND(#REF!="Muy Baja",#REF!="Menor"),CONCATENATE("R",#REF!),"")</f>
        <v>#REF!</v>
      </c>
      <c r="S44" s="654"/>
      <c r="T44" s="662" t="e">
        <f>IF(AND(#REF!="Muy Baja",#REF!="Menor"),CONCATENATE("R",#REF!),"")</f>
        <v>#REF!</v>
      </c>
      <c r="U44" s="653"/>
      <c r="V44" s="663" t="e">
        <f>IF(AND(#REF!="Muy Baja",#REF!="Moderado"),CONCATENATE("R",#REF!),"")</f>
        <v>#REF!</v>
      </c>
      <c r="W44" s="654"/>
      <c r="X44" s="652" t="e">
        <f>IF(AND(#REF!="Muy Baja",#REF!="Moderado"),CONCATENATE("R",#REF!),"")</f>
        <v>#REF!</v>
      </c>
      <c r="Y44" s="654"/>
      <c r="Z44" s="652" t="e">
        <f>IF(AND(#REF!="Muy Baja",#REF!="Moderado"),CONCATENATE("R",#REF!),"")</f>
        <v>#REF!</v>
      </c>
      <c r="AA44" s="653"/>
      <c r="AB44" s="664" t="e">
        <f>IF(AND(#REF!="Muy Baja",#REF!="Mayor"),CONCATENATE("R",#REF!),"")</f>
        <v>#REF!</v>
      </c>
      <c r="AC44" s="654"/>
      <c r="AD44" s="665" t="e">
        <f>IF(AND(#REF!="Muy Baja",#REF!="Mayor"),CONCATENATE("R",#REF!),"")</f>
        <v>#REF!</v>
      </c>
      <c r="AE44" s="654"/>
      <c r="AF44" s="665" t="e">
        <f>IF(AND(#REF!="Muy Baja",#REF!="Mayor"),CONCATENATE("R",#REF!),"")</f>
        <v>#REF!</v>
      </c>
      <c r="AG44" s="653"/>
      <c r="AH44" s="666" t="e">
        <f>IF(AND(#REF!="Muy Baja",#REF!="Catastrófico"),CONCATENATE("R",#REF!),"")</f>
        <v>#REF!</v>
      </c>
      <c r="AI44" s="654"/>
      <c r="AJ44" s="667" t="e">
        <f>IF(AND(#REF!="Muy Baja",#REF!="Catastrófico"),CONCATENATE("R",#REF!),"")</f>
        <v>#REF!</v>
      </c>
      <c r="AK44" s="654"/>
      <c r="AL44" s="667" t="e">
        <f>IF(AND(#REF!="Muy Baja",#REF!="Catastrófico"),CONCATENATE("R",#REF!),"")</f>
        <v>#REF!</v>
      </c>
      <c r="AM44" s="653"/>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row>
    <row r="45" spans="1:61" ht="15.75" customHeight="1" thickBot="1" x14ac:dyDescent="0.3">
      <c r="A45" s="115"/>
      <c r="B45" s="654"/>
      <c r="C45" s="654"/>
      <c r="D45" s="653"/>
      <c r="E45" s="671"/>
      <c r="F45" s="672"/>
      <c r="G45" s="672"/>
      <c r="H45" s="672"/>
      <c r="I45" s="673"/>
      <c r="J45" s="671"/>
      <c r="K45" s="672"/>
      <c r="L45" s="672"/>
      <c r="M45" s="672"/>
      <c r="N45" s="672"/>
      <c r="O45" s="673"/>
      <c r="P45" s="671"/>
      <c r="Q45" s="672"/>
      <c r="R45" s="672"/>
      <c r="S45" s="672"/>
      <c r="T45" s="672"/>
      <c r="U45" s="673"/>
      <c r="V45" s="671"/>
      <c r="W45" s="672"/>
      <c r="X45" s="672"/>
      <c r="Y45" s="672"/>
      <c r="Z45" s="672"/>
      <c r="AA45" s="673"/>
      <c r="AB45" s="671"/>
      <c r="AC45" s="672"/>
      <c r="AD45" s="672"/>
      <c r="AE45" s="672"/>
      <c r="AF45" s="672"/>
      <c r="AG45" s="673"/>
      <c r="AH45" s="671"/>
      <c r="AI45" s="672"/>
      <c r="AJ45" s="672"/>
      <c r="AK45" s="672"/>
      <c r="AL45" s="672"/>
      <c r="AM45" s="673"/>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row>
    <row r="46" spans="1:61" ht="15.75" customHeight="1" x14ac:dyDescent="0.25">
      <c r="A46" s="115"/>
      <c r="B46" s="115"/>
      <c r="C46" s="115"/>
      <c r="D46" s="115"/>
      <c r="E46" s="115"/>
      <c r="F46" s="115"/>
      <c r="G46" s="115"/>
      <c r="H46" s="115"/>
      <c r="I46" s="115"/>
      <c r="J46" s="669" t="s">
        <v>12</v>
      </c>
      <c r="K46" s="656"/>
      <c r="L46" s="656"/>
      <c r="M46" s="656"/>
      <c r="N46" s="656"/>
      <c r="O46" s="657"/>
      <c r="P46" s="669" t="s">
        <v>13</v>
      </c>
      <c r="Q46" s="656"/>
      <c r="R46" s="656"/>
      <c r="S46" s="656"/>
      <c r="T46" s="656"/>
      <c r="U46" s="657"/>
      <c r="V46" s="669" t="s">
        <v>14</v>
      </c>
      <c r="W46" s="656"/>
      <c r="X46" s="656"/>
      <c r="Y46" s="656"/>
      <c r="Z46" s="656"/>
      <c r="AA46" s="657"/>
      <c r="AB46" s="669" t="s">
        <v>15</v>
      </c>
      <c r="AC46" s="656"/>
      <c r="AD46" s="656"/>
      <c r="AE46" s="656"/>
      <c r="AF46" s="656"/>
      <c r="AG46" s="657"/>
      <c r="AH46" s="669" t="s">
        <v>16</v>
      </c>
      <c r="AI46" s="656"/>
      <c r="AJ46" s="656"/>
      <c r="AK46" s="656"/>
      <c r="AL46" s="656"/>
      <c r="AM46" s="657"/>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row>
    <row r="47" spans="1:61" ht="15.75" customHeight="1" x14ac:dyDescent="0.25">
      <c r="A47" s="115"/>
      <c r="B47" s="115"/>
      <c r="C47" s="115"/>
      <c r="D47" s="115"/>
      <c r="E47" s="115"/>
      <c r="F47" s="115"/>
      <c r="G47" s="115"/>
      <c r="H47" s="115"/>
      <c r="I47" s="115"/>
      <c r="J47" s="659"/>
      <c r="K47" s="670"/>
      <c r="L47" s="670"/>
      <c r="M47" s="670"/>
      <c r="N47" s="670"/>
      <c r="O47" s="653"/>
      <c r="P47" s="659"/>
      <c r="Q47" s="670"/>
      <c r="R47" s="670"/>
      <c r="S47" s="670"/>
      <c r="T47" s="670"/>
      <c r="U47" s="653"/>
      <c r="V47" s="659"/>
      <c r="W47" s="670"/>
      <c r="X47" s="670"/>
      <c r="Y47" s="670"/>
      <c r="Z47" s="670"/>
      <c r="AA47" s="653"/>
      <c r="AB47" s="659"/>
      <c r="AC47" s="670"/>
      <c r="AD47" s="670"/>
      <c r="AE47" s="670"/>
      <c r="AF47" s="670"/>
      <c r="AG47" s="653"/>
      <c r="AH47" s="659"/>
      <c r="AI47" s="670"/>
      <c r="AJ47" s="670"/>
      <c r="AK47" s="670"/>
      <c r="AL47" s="670"/>
      <c r="AM47" s="653"/>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row>
    <row r="48" spans="1:61" ht="15.75" customHeight="1" x14ac:dyDescent="0.25">
      <c r="A48" s="115"/>
      <c r="B48" s="115"/>
      <c r="C48" s="115"/>
      <c r="D48" s="115"/>
      <c r="E48" s="115"/>
      <c r="F48" s="115"/>
      <c r="G48" s="115"/>
      <c r="H48" s="115"/>
      <c r="I48" s="115"/>
      <c r="J48" s="659"/>
      <c r="K48" s="670"/>
      <c r="L48" s="670"/>
      <c r="M48" s="670"/>
      <c r="N48" s="670"/>
      <c r="O48" s="653"/>
      <c r="P48" s="659"/>
      <c r="Q48" s="670"/>
      <c r="R48" s="670"/>
      <c r="S48" s="670"/>
      <c r="T48" s="670"/>
      <c r="U48" s="653"/>
      <c r="V48" s="659"/>
      <c r="W48" s="670"/>
      <c r="X48" s="670"/>
      <c r="Y48" s="670"/>
      <c r="Z48" s="670"/>
      <c r="AA48" s="653"/>
      <c r="AB48" s="659"/>
      <c r="AC48" s="670"/>
      <c r="AD48" s="670"/>
      <c r="AE48" s="670"/>
      <c r="AF48" s="670"/>
      <c r="AG48" s="653"/>
      <c r="AH48" s="659"/>
      <c r="AI48" s="670"/>
      <c r="AJ48" s="670"/>
      <c r="AK48" s="670"/>
      <c r="AL48" s="670"/>
      <c r="AM48" s="653"/>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row>
    <row r="49" spans="1:61" ht="15.75" customHeight="1" x14ac:dyDescent="0.25">
      <c r="A49" s="115"/>
      <c r="B49" s="115"/>
      <c r="C49" s="115"/>
      <c r="D49" s="115"/>
      <c r="E49" s="115"/>
      <c r="F49" s="115"/>
      <c r="G49" s="115"/>
      <c r="H49" s="115"/>
      <c r="I49" s="115"/>
      <c r="J49" s="659"/>
      <c r="K49" s="670"/>
      <c r="L49" s="670"/>
      <c r="M49" s="670"/>
      <c r="N49" s="670"/>
      <c r="O49" s="653"/>
      <c r="P49" s="659"/>
      <c r="Q49" s="670"/>
      <c r="R49" s="670"/>
      <c r="S49" s="670"/>
      <c r="T49" s="670"/>
      <c r="U49" s="653"/>
      <c r="V49" s="659"/>
      <c r="W49" s="670"/>
      <c r="X49" s="670"/>
      <c r="Y49" s="670"/>
      <c r="Z49" s="670"/>
      <c r="AA49" s="653"/>
      <c r="AB49" s="659"/>
      <c r="AC49" s="670"/>
      <c r="AD49" s="670"/>
      <c r="AE49" s="670"/>
      <c r="AF49" s="670"/>
      <c r="AG49" s="653"/>
      <c r="AH49" s="659"/>
      <c r="AI49" s="670"/>
      <c r="AJ49" s="670"/>
      <c r="AK49" s="670"/>
      <c r="AL49" s="670"/>
      <c r="AM49" s="653"/>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row>
    <row r="50" spans="1:61" ht="15.75" customHeight="1" x14ac:dyDescent="0.25">
      <c r="A50" s="115"/>
      <c r="B50" s="115"/>
      <c r="C50" s="115"/>
      <c r="D50" s="115"/>
      <c r="E50" s="115"/>
      <c r="F50" s="115"/>
      <c r="G50" s="115"/>
      <c r="H50" s="115"/>
      <c r="I50" s="115"/>
      <c r="J50" s="659"/>
      <c r="K50" s="670"/>
      <c r="L50" s="670"/>
      <c r="M50" s="670"/>
      <c r="N50" s="670"/>
      <c r="O50" s="653"/>
      <c r="P50" s="659"/>
      <c r="Q50" s="670"/>
      <c r="R50" s="670"/>
      <c r="S50" s="670"/>
      <c r="T50" s="670"/>
      <c r="U50" s="653"/>
      <c r="V50" s="659"/>
      <c r="W50" s="670"/>
      <c r="X50" s="670"/>
      <c r="Y50" s="670"/>
      <c r="Z50" s="670"/>
      <c r="AA50" s="653"/>
      <c r="AB50" s="659"/>
      <c r="AC50" s="670"/>
      <c r="AD50" s="670"/>
      <c r="AE50" s="670"/>
      <c r="AF50" s="670"/>
      <c r="AG50" s="653"/>
      <c r="AH50" s="659"/>
      <c r="AI50" s="670"/>
      <c r="AJ50" s="670"/>
      <c r="AK50" s="670"/>
      <c r="AL50" s="670"/>
      <c r="AM50" s="653"/>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row>
    <row r="51" spans="1:61" ht="15.75" customHeight="1" thickBot="1" x14ac:dyDescent="0.3">
      <c r="A51" s="115"/>
      <c r="B51" s="115"/>
      <c r="C51" s="115"/>
      <c r="D51" s="115"/>
      <c r="E51" s="115"/>
      <c r="F51" s="115"/>
      <c r="G51" s="115"/>
      <c r="H51" s="115"/>
      <c r="I51" s="115"/>
      <c r="J51" s="671"/>
      <c r="K51" s="672"/>
      <c r="L51" s="672"/>
      <c r="M51" s="672"/>
      <c r="N51" s="672"/>
      <c r="O51" s="673"/>
      <c r="P51" s="671"/>
      <c r="Q51" s="672"/>
      <c r="R51" s="672"/>
      <c r="S51" s="672"/>
      <c r="T51" s="672"/>
      <c r="U51" s="673"/>
      <c r="V51" s="671"/>
      <c r="W51" s="672"/>
      <c r="X51" s="672"/>
      <c r="Y51" s="672"/>
      <c r="Z51" s="672"/>
      <c r="AA51" s="673"/>
      <c r="AB51" s="671"/>
      <c r="AC51" s="672"/>
      <c r="AD51" s="672"/>
      <c r="AE51" s="672"/>
      <c r="AF51" s="672"/>
      <c r="AG51" s="673"/>
      <c r="AH51" s="671"/>
      <c r="AI51" s="672"/>
      <c r="AJ51" s="672"/>
      <c r="AK51" s="672"/>
      <c r="AL51" s="672"/>
      <c r="AM51" s="673"/>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row>
    <row r="52" spans="1:61" ht="15.75" customHeight="1" x14ac:dyDescent="0.25">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row>
    <row r="53" spans="1:61" ht="15" customHeight="1" x14ac:dyDescent="0.25">
      <c r="A53" s="115"/>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1"/>
      <c r="AJ53" s="141"/>
      <c r="AK53" s="141"/>
      <c r="AL53" s="141"/>
      <c r="AM53" s="141"/>
      <c r="AN53" s="141"/>
      <c r="AO53" s="141"/>
      <c r="AP53" s="141"/>
      <c r="AQ53" s="141"/>
      <c r="AR53" s="141"/>
      <c r="AS53" s="141"/>
      <c r="AT53" s="141"/>
      <c r="AU53" s="115"/>
      <c r="AV53" s="115"/>
      <c r="AW53" s="115"/>
      <c r="AX53" s="115"/>
      <c r="AY53" s="115"/>
      <c r="AZ53" s="115"/>
      <c r="BA53" s="115"/>
      <c r="BB53" s="115"/>
      <c r="BC53" s="115"/>
      <c r="BD53" s="115"/>
      <c r="BE53" s="115"/>
      <c r="BF53" s="115"/>
      <c r="BG53" s="115"/>
      <c r="BH53" s="115"/>
      <c r="BI53" s="115"/>
    </row>
    <row r="54" spans="1:61" ht="15" customHeight="1" x14ac:dyDescent="0.25">
      <c r="A54" s="115"/>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141"/>
      <c r="AB54" s="141"/>
      <c r="AC54" s="141"/>
      <c r="AD54" s="141"/>
      <c r="AE54" s="141"/>
      <c r="AF54" s="141"/>
      <c r="AG54" s="141"/>
      <c r="AH54" s="141"/>
      <c r="AI54" s="141"/>
      <c r="AJ54" s="141"/>
      <c r="AK54" s="141"/>
      <c r="AL54" s="141"/>
      <c r="AM54" s="141"/>
      <c r="AN54" s="141"/>
      <c r="AO54" s="141"/>
      <c r="AP54" s="141"/>
      <c r="AQ54" s="141"/>
      <c r="AR54" s="141"/>
      <c r="AS54" s="141"/>
      <c r="AT54" s="141"/>
      <c r="AU54" s="115"/>
      <c r="AV54" s="115"/>
      <c r="AW54" s="115"/>
      <c r="AX54" s="115"/>
      <c r="AY54" s="115"/>
      <c r="AZ54" s="115"/>
      <c r="BA54" s="115"/>
      <c r="BB54" s="115"/>
      <c r="BC54" s="115"/>
      <c r="BD54" s="115"/>
      <c r="BE54" s="115"/>
      <c r="BF54" s="115"/>
      <c r="BG54" s="115"/>
      <c r="BH54" s="115"/>
      <c r="BI54" s="115"/>
    </row>
    <row r="55" spans="1:61" ht="15.75" customHeight="1" x14ac:dyDescent="0.25">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row>
    <row r="56" spans="1:61" ht="15.75" customHeight="1" x14ac:dyDescent="0.25">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row>
    <row r="57" spans="1:61" ht="15.75" customHeight="1" x14ac:dyDescent="0.25">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row>
    <row r="58" spans="1:61" ht="15.75" customHeight="1" x14ac:dyDescent="0.25">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row>
    <row r="59" spans="1:61" ht="15.75" customHeight="1" x14ac:dyDescent="0.25">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row>
    <row r="60" spans="1:61" ht="15.75" customHeight="1" x14ac:dyDescent="0.25">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row>
    <row r="61" spans="1:61" ht="15.75" customHeight="1" x14ac:dyDescent="0.25">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row>
    <row r="62" spans="1:61" ht="15.75" customHeight="1" x14ac:dyDescent="0.25">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row>
    <row r="63" spans="1:61" ht="15.75" customHeight="1" x14ac:dyDescent="0.25">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row>
    <row r="64" spans="1:61" ht="15.75" customHeight="1" x14ac:dyDescent="0.25">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row>
    <row r="65" spans="1:61" ht="15.75" customHeight="1" x14ac:dyDescent="0.25">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row>
    <row r="66" spans="1:61" ht="15.75" customHeight="1" x14ac:dyDescent="0.25">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row>
    <row r="67" spans="1:61" ht="15.75" customHeight="1" x14ac:dyDescent="0.25">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row>
    <row r="68" spans="1:61" ht="15.75" customHeight="1" x14ac:dyDescent="0.25">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row>
    <row r="69" spans="1:61" ht="15.75" customHeight="1" x14ac:dyDescent="0.25">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row>
    <row r="70" spans="1:61" ht="15.75" customHeight="1" x14ac:dyDescent="0.25">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row>
    <row r="71" spans="1:61" ht="15.75" customHeight="1" x14ac:dyDescent="0.25">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row>
    <row r="72" spans="1:61" ht="15.75" customHeight="1" x14ac:dyDescent="0.25">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row>
    <row r="73" spans="1:61" ht="15.75" customHeight="1" x14ac:dyDescent="0.25">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row>
    <row r="74" spans="1:61" ht="15.75" customHeight="1" x14ac:dyDescent="0.25">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row>
    <row r="75" spans="1:61" ht="15.75" customHeight="1" x14ac:dyDescent="0.25">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row>
    <row r="76" spans="1:61" ht="15.75" customHeight="1" x14ac:dyDescent="0.25">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row>
    <row r="77" spans="1:61" ht="15.75"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row>
    <row r="78" spans="1:61" ht="15.75" customHeight="1" x14ac:dyDescent="0.25">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row>
    <row r="79" spans="1:61" ht="15.75"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row>
    <row r="80" spans="1:61" ht="15.75" customHeight="1" x14ac:dyDescent="0.25">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row>
    <row r="81" spans="1:61" ht="15.75" customHeight="1" x14ac:dyDescent="0.25">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row>
    <row r="82" spans="1:61" ht="15.75" customHeight="1" x14ac:dyDescent="0.25">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row>
    <row r="83" spans="1:61" ht="15.75" customHeight="1" x14ac:dyDescent="0.25">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row>
    <row r="84" spans="1:61" ht="15.75" customHeight="1" x14ac:dyDescent="0.25">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row>
    <row r="85" spans="1:61" ht="15.75" customHeight="1" x14ac:dyDescent="0.25">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row>
    <row r="86" spans="1:61" ht="15.75" customHeight="1" x14ac:dyDescent="0.25">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row>
    <row r="87" spans="1:61" ht="15.75" customHeight="1" x14ac:dyDescent="0.25">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row>
    <row r="88" spans="1:61" ht="15.75" customHeight="1" x14ac:dyDescent="0.25">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row>
    <row r="89" spans="1:61" ht="15.75" customHeight="1" x14ac:dyDescent="0.25">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row>
    <row r="90" spans="1:61" ht="15.75" customHeight="1" x14ac:dyDescent="0.25">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row>
    <row r="91" spans="1:61" ht="15.75" customHeight="1" x14ac:dyDescent="0.25">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row>
    <row r="92" spans="1:61" ht="15.75" customHeight="1" x14ac:dyDescent="0.25">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row>
    <row r="93" spans="1:61" ht="15.75" customHeight="1" x14ac:dyDescent="0.25">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row>
    <row r="94" spans="1:61" ht="15.75" customHeight="1" x14ac:dyDescent="0.25">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row>
    <row r="95" spans="1:61" ht="15.75" customHeight="1" x14ac:dyDescent="0.25">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row>
    <row r="96" spans="1:61" ht="15.75" customHeight="1" x14ac:dyDescent="0.25">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row>
    <row r="97" spans="1:61" ht="15.75" customHeight="1" x14ac:dyDescent="0.25">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row>
    <row r="98" spans="1:61" ht="15.75" customHeight="1" x14ac:dyDescent="0.25">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row>
    <row r="99" spans="1:61" ht="15.75" customHeight="1" x14ac:dyDescent="0.25">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row>
    <row r="100" spans="1:61" ht="15.75"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row>
    <row r="101" spans="1:61" ht="15.75" customHeight="1" x14ac:dyDescent="0.25">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row>
    <row r="102" spans="1:61" ht="15.75" customHeight="1" x14ac:dyDescent="0.25">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row>
    <row r="103" spans="1:61" ht="15.75" customHeight="1" x14ac:dyDescent="0.25">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row>
    <row r="104" spans="1:61" ht="15.75" customHeight="1" x14ac:dyDescent="0.25">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row>
    <row r="105" spans="1:61" ht="15.75" customHeight="1" x14ac:dyDescent="0.25">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row>
    <row r="106" spans="1:61" ht="15.75" customHeight="1" x14ac:dyDescent="0.25">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row>
    <row r="107" spans="1:61" ht="15.75" customHeight="1" x14ac:dyDescent="0.25">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row>
    <row r="108" spans="1:61" ht="15.75" customHeight="1" x14ac:dyDescent="0.25">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row>
    <row r="109" spans="1:61" ht="15.75" customHeight="1" x14ac:dyDescent="0.25">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row>
    <row r="110" spans="1:61" ht="15.75" customHeight="1" x14ac:dyDescent="0.25">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row>
    <row r="111" spans="1:61" ht="15.75"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row>
    <row r="112" spans="1:61" ht="15.75" customHeight="1" x14ac:dyDescent="0.25">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row>
    <row r="113" spans="1:61" ht="15.75" customHeight="1" x14ac:dyDescent="0.25">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row>
    <row r="114" spans="1:61" ht="15.75" customHeight="1" x14ac:dyDescent="0.25">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row>
    <row r="115" spans="1:61" ht="15.75" customHeight="1" x14ac:dyDescent="0.25">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row>
    <row r="116" spans="1:61" ht="15.75" customHeight="1" x14ac:dyDescent="0.25">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row>
    <row r="117" spans="1:61" ht="15.75" customHeight="1" x14ac:dyDescent="0.25">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row>
    <row r="118" spans="1:61" ht="15.75" customHeight="1" x14ac:dyDescent="0.25">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row>
    <row r="119" spans="1:61" ht="15.75" customHeight="1" x14ac:dyDescent="0.25">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row>
    <row r="120" spans="1:61" ht="15.75" customHeight="1" x14ac:dyDescent="0.25">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row>
    <row r="121" spans="1:61" ht="15.75" customHeight="1" x14ac:dyDescent="0.25">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row>
    <row r="122" spans="1:61" ht="15.75" customHeight="1" x14ac:dyDescent="0.2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row>
    <row r="123" spans="1:61" ht="15.75" customHeight="1" x14ac:dyDescent="0.2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row>
    <row r="124" spans="1:61" ht="15.75" customHeight="1" x14ac:dyDescent="0.2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row>
    <row r="125" spans="1:61" ht="15.75" customHeight="1" x14ac:dyDescent="0.2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row>
    <row r="126" spans="1:61" ht="15.75" customHeight="1" x14ac:dyDescent="0.2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row>
    <row r="127" spans="1:61" ht="15.75" customHeight="1" x14ac:dyDescent="0.2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row>
    <row r="128" spans="1:61" ht="15.75" customHeight="1" x14ac:dyDescent="0.2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row>
    <row r="129" spans="2:61" ht="15.75" customHeight="1" x14ac:dyDescent="0.2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row>
    <row r="130" spans="2:61" ht="15.75" customHeight="1" x14ac:dyDescent="0.2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row>
    <row r="131" spans="2:61" ht="15.75" customHeight="1" x14ac:dyDescent="0.2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row>
    <row r="132" spans="2:61" ht="15.75" customHeight="1" x14ac:dyDescent="0.2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row>
    <row r="133" spans="2:61" ht="15.75" customHeight="1" x14ac:dyDescent="0.2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row>
    <row r="134" spans="2:61" ht="15.75" customHeight="1" x14ac:dyDescent="0.2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row>
    <row r="135" spans="2:61" ht="15.75" customHeight="1" x14ac:dyDescent="0.2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row>
    <row r="136" spans="2:61" ht="15.75" customHeight="1" x14ac:dyDescent="0.2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row>
    <row r="137" spans="2:61" ht="15.75" customHeight="1" x14ac:dyDescent="0.25">
      <c r="B137" s="115"/>
      <c r="C137" s="115"/>
      <c r="D137" s="115"/>
      <c r="E137" s="115"/>
      <c r="F137" s="115"/>
      <c r="G137" s="115"/>
      <c r="H137" s="115"/>
      <c r="I137" s="115"/>
    </row>
    <row r="138" spans="2:61" ht="15.75" customHeight="1" x14ac:dyDescent="0.25">
      <c r="B138" s="115"/>
      <c r="C138" s="115"/>
      <c r="D138" s="115"/>
      <c r="E138" s="115"/>
      <c r="F138" s="115"/>
      <c r="G138" s="115"/>
      <c r="H138" s="115"/>
      <c r="I138" s="115"/>
    </row>
    <row r="139" spans="2:61" ht="15.75" customHeight="1" x14ac:dyDescent="0.25">
      <c r="B139" s="115"/>
      <c r="C139" s="115"/>
      <c r="D139" s="115"/>
      <c r="E139" s="115"/>
      <c r="F139" s="115"/>
      <c r="G139" s="115"/>
      <c r="H139" s="115"/>
      <c r="I139" s="115"/>
    </row>
    <row r="140" spans="2:61" ht="15.75" customHeight="1" x14ac:dyDescent="0.25">
      <c r="B140" s="115"/>
      <c r="C140" s="115"/>
      <c r="D140" s="115"/>
      <c r="E140" s="115"/>
      <c r="F140" s="115"/>
      <c r="G140" s="115"/>
      <c r="H140" s="115"/>
      <c r="I140" s="115"/>
    </row>
    <row r="141" spans="2:61" ht="15.75" customHeight="1" x14ac:dyDescent="0.2"/>
    <row r="142" spans="2:61" ht="15.75" customHeight="1" x14ac:dyDescent="0.2"/>
    <row r="143" spans="2:61" ht="15.75" customHeight="1" x14ac:dyDescent="0.2"/>
    <row r="144" spans="2:61"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0866141732283472" right="0.70866141732283472" top="0.74803149606299213" bottom="0.74803149606299213" header="0" footer="0"/>
  <pageSetup scale="34" orientation="portrait" r:id="rId1"/>
  <headerFooter>
    <oddHeader>&amp;L&amp;G&amp;C
MATRIZ DE RIESGOS&amp;RCódigo:E-02-F-014
Versión: 4
Fecha: Ver Isolución</oddHeader>
  </headerFooter>
  <colBreaks count="1" manualBreakCount="1">
    <brk id="46" max="139"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9CAA4-36A7-4106-A762-4E40B05FE200}">
  <sheetPr>
    <tabColor rgb="FF00B050"/>
  </sheetPr>
  <dimension ref="A1:BI1000"/>
  <sheetViews>
    <sheetView showGridLines="0" zoomScale="40" zoomScaleNormal="40" workbookViewId="0">
      <selection activeCell="BA41" sqref="BA41"/>
    </sheetView>
  </sheetViews>
  <sheetFormatPr baseColWidth="10" defaultColWidth="12.625" defaultRowHeight="15" customHeight="1" x14ac:dyDescent="0.2"/>
  <cols>
    <col min="1" max="1" width="9.375" customWidth="1"/>
    <col min="2" max="18" width="5" customWidth="1"/>
    <col min="19" max="19" width="7.375" customWidth="1"/>
    <col min="20" max="23" width="5" customWidth="1"/>
    <col min="24" max="24" width="7.5" customWidth="1"/>
    <col min="25" max="26" width="5" customWidth="1"/>
    <col min="27" max="27" width="9.375" customWidth="1"/>
    <col min="28" max="28" width="5" customWidth="1"/>
    <col min="29" max="29" width="6.5" customWidth="1"/>
    <col min="30" max="33" width="5" customWidth="1"/>
    <col min="34" max="34" width="7.5" customWidth="1"/>
    <col min="35" max="39" width="5" customWidth="1"/>
    <col min="40" max="40" width="9.375" customWidth="1"/>
    <col min="41" max="46" width="5" customWidth="1"/>
    <col min="47" max="61" width="9.375" customWidth="1"/>
  </cols>
  <sheetData>
    <row r="1" spans="1:61" x14ac:dyDescent="0.25">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row>
    <row r="2" spans="1:61" ht="18" customHeight="1" x14ac:dyDescent="0.25">
      <c r="A2" s="115"/>
      <c r="B2" s="692" t="s">
        <v>17</v>
      </c>
      <c r="C2" s="670"/>
      <c r="D2" s="670"/>
      <c r="E2" s="670"/>
      <c r="F2" s="670"/>
      <c r="G2" s="670"/>
      <c r="H2" s="670"/>
      <c r="I2" s="670"/>
      <c r="J2" s="677" t="s">
        <v>1</v>
      </c>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4"/>
      <c r="AN2" s="115"/>
      <c r="AO2" s="115"/>
      <c r="AP2" s="115"/>
      <c r="AQ2" s="115"/>
      <c r="AR2" s="115"/>
      <c r="AS2" s="115"/>
      <c r="AT2" s="115"/>
      <c r="AU2" s="115"/>
      <c r="AV2" s="115"/>
      <c r="AW2" s="115"/>
      <c r="AX2" s="115"/>
      <c r="AY2" s="115"/>
      <c r="AZ2" s="115"/>
      <c r="BA2" s="115"/>
      <c r="BB2" s="115"/>
      <c r="BC2" s="115"/>
      <c r="BD2" s="115"/>
      <c r="BE2" s="115"/>
      <c r="BF2" s="115"/>
      <c r="BG2" s="115"/>
      <c r="BH2" s="115"/>
      <c r="BI2" s="115"/>
    </row>
    <row r="3" spans="1:61" ht="18.75" customHeight="1" x14ac:dyDescent="0.25">
      <c r="A3" s="115"/>
      <c r="B3" s="670"/>
      <c r="C3" s="670"/>
      <c r="D3" s="670"/>
      <c r="E3" s="670"/>
      <c r="F3" s="670"/>
      <c r="G3" s="670"/>
      <c r="H3" s="670"/>
      <c r="I3" s="670"/>
      <c r="J3" s="654"/>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54"/>
      <c r="AN3" s="115"/>
      <c r="AO3" s="115"/>
      <c r="AP3" s="115"/>
      <c r="AQ3" s="115"/>
      <c r="AR3" s="115"/>
      <c r="AS3" s="115"/>
      <c r="AT3" s="115"/>
      <c r="AU3" s="115"/>
      <c r="AV3" s="115"/>
      <c r="AW3" s="115"/>
      <c r="AX3" s="115"/>
      <c r="AY3" s="115"/>
      <c r="AZ3" s="115"/>
      <c r="BA3" s="115"/>
      <c r="BB3" s="115"/>
      <c r="BC3" s="115"/>
      <c r="BD3" s="115"/>
      <c r="BE3" s="115"/>
      <c r="BF3" s="115"/>
      <c r="BG3" s="115"/>
      <c r="BH3" s="115"/>
      <c r="BI3" s="115"/>
    </row>
    <row r="4" spans="1:61" ht="15" customHeight="1" x14ac:dyDescent="0.25">
      <c r="A4" s="115"/>
      <c r="B4" s="670"/>
      <c r="C4" s="670"/>
      <c r="D4" s="670"/>
      <c r="E4" s="670"/>
      <c r="F4" s="670"/>
      <c r="G4" s="670"/>
      <c r="H4" s="670"/>
      <c r="I4" s="670"/>
      <c r="J4" s="654"/>
      <c r="K4" s="654"/>
      <c r="L4" s="654"/>
      <c r="M4" s="654"/>
      <c r="N4" s="654"/>
      <c r="O4" s="654"/>
      <c r="P4" s="654"/>
      <c r="Q4" s="654"/>
      <c r="R4" s="654"/>
      <c r="S4" s="654"/>
      <c r="T4" s="654"/>
      <c r="U4" s="654"/>
      <c r="V4" s="654"/>
      <c r="W4" s="654"/>
      <c r="X4" s="654"/>
      <c r="Y4" s="654"/>
      <c r="Z4" s="654"/>
      <c r="AA4" s="654"/>
      <c r="AB4" s="654"/>
      <c r="AC4" s="654"/>
      <c r="AD4" s="654"/>
      <c r="AE4" s="654"/>
      <c r="AF4" s="654"/>
      <c r="AG4" s="654"/>
      <c r="AH4" s="654"/>
      <c r="AI4" s="654"/>
      <c r="AJ4" s="654"/>
      <c r="AK4" s="654"/>
      <c r="AL4" s="654"/>
      <c r="AM4" s="654"/>
      <c r="AN4" s="115"/>
      <c r="AO4" s="115"/>
      <c r="AP4" s="115"/>
      <c r="AQ4" s="115"/>
      <c r="AR4" s="115"/>
      <c r="AS4" s="115"/>
      <c r="AT4" s="115"/>
      <c r="AU4" s="115"/>
      <c r="AV4" s="115"/>
      <c r="AW4" s="115"/>
      <c r="AX4" s="115"/>
      <c r="AY4" s="115"/>
      <c r="AZ4" s="115"/>
      <c r="BA4" s="115"/>
      <c r="BB4" s="115"/>
      <c r="BC4" s="115"/>
      <c r="BD4" s="115"/>
      <c r="BE4" s="115"/>
      <c r="BF4" s="115"/>
      <c r="BG4" s="115"/>
      <c r="BH4" s="115"/>
      <c r="BI4" s="115"/>
    </row>
    <row r="5" spans="1:61" ht="15.75" thickBot="1" x14ac:dyDescent="0.3">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row>
    <row r="6" spans="1:61" ht="15" customHeight="1" x14ac:dyDescent="0.25">
      <c r="A6" s="115"/>
      <c r="B6" s="678" t="s">
        <v>2</v>
      </c>
      <c r="C6" s="654"/>
      <c r="D6" s="653"/>
      <c r="E6" s="693" t="s">
        <v>3</v>
      </c>
      <c r="F6" s="656"/>
      <c r="G6" s="656"/>
      <c r="H6" s="656"/>
      <c r="I6" s="657"/>
      <c r="J6" s="19" t="e">
        <f>IF(AND(#REF!="Muy Alta",#REF!="Leve"),CONCATENATE("R1C",#REF!),"")</f>
        <v>#REF!</v>
      </c>
      <c r="K6" s="20" t="e">
        <f>IF(AND(#REF!="Muy Alta",#REF!="Leve"),CONCATENATE("R1C",#REF!),"")</f>
        <v>#REF!</v>
      </c>
      <c r="L6" s="20" t="e">
        <f>IF(AND(#REF!="Muy Alta",#REF!="Leve"),CONCATENATE("R1C",#REF!),"")</f>
        <v>#REF!</v>
      </c>
      <c r="M6" s="20" t="e">
        <f>IF(AND(#REF!="Muy Alta",#REF!="Leve"),CONCATENATE("R1C",#REF!),"")</f>
        <v>#REF!</v>
      </c>
      <c r="N6" s="20" t="e">
        <f>IF(AND(#REF!="Muy Alta",#REF!="Leve"),CONCATENATE("R1C",#REF!),"")</f>
        <v>#REF!</v>
      </c>
      <c r="O6" s="21" t="e">
        <f>IF(AND(#REF!="Muy Alta",#REF!="Leve"),CONCATENATE("R1C",#REF!),"")</f>
        <v>#REF!</v>
      </c>
      <c r="P6" s="19" t="e">
        <f>IF(AND(#REF!="Muy Alta",#REF!="Menor"),CONCATENATE("R1C",#REF!),"")</f>
        <v>#REF!</v>
      </c>
      <c r="Q6" s="20" t="e">
        <f>IF(AND(#REF!="Muy Alta",#REF!="Menor"),CONCATENATE("R1C",#REF!),"")</f>
        <v>#REF!</v>
      </c>
      <c r="R6" s="20" t="e">
        <f>IF(AND(#REF!="Muy Alta",#REF!="Menor"),CONCATENATE("R1C",#REF!),"")</f>
        <v>#REF!</v>
      </c>
      <c r="S6" s="20" t="e">
        <f>IF(AND(#REF!="Muy Alta",#REF!="Menor"),CONCATENATE("R1C",#REF!),"")</f>
        <v>#REF!</v>
      </c>
      <c r="T6" s="20" t="e">
        <f>IF(AND(#REF!="Muy Alta",#REF!="Menor"),CONCATENATE("R1C",#REF!),"")</f>
        <v>#REF!</v>
      </c>
      <c r="U6" s="21" t="e">
        <f>IF(AND(#REF!="Muy Alta",#REF!="Menor"),CONCATENATE("R1C",#REF!),"")</f>
        <v>#REF!</v>
      </c>
      <c r="V6" s="19" t="e">
        <f>IF(AND(#REF!="Muy Alta",#REF!="Moderado"),CONCATENATE("R1C",#REF!),"")</f>
        <v>#REF!</v>
      </c>
      <c r="W6" s="20" t="e">
        <f>IF(AND(#REF!="Muy Alta",#REF!="Moderado"),CONCATENATE("R1C",#REF!),"")</f>
        <v>#REF!</v>
      </c>
      <c r="X6" s="20" t="e">
        <f>IF(AND(#REF!="Muy Alta",#REF!="Moderado"),CONCATENATE("R1C",#REF!),"")</f>
        <v>#REF!</v>
      </c>
      <c r="Y6" s="20" t="e">
        <f>IF(AND(#REF!="Muy Alta",#REF!="Moderado"),CONCATENATE("R1C",#REF!),"")</f>
        <v>#REF!</v>
      </c>
      <c r="Z6" s="20" t="e">
        <f>IF(AND(#REF!="Muy Alta",#REF!="Moderado"),CONCATENATE("R1C",#REF!),"")</f>
        <v>#REF!</v>
      </c>
      <c r="AA6" s="21" t="e">
        <f>IF(AND(#REF!="Muy Alta",#REF!="Moderado"),CONCATENATE("R1C",#REF!),"")</f>
        <v>#REF!</v>
      </c>
      <c r="AB6" s="19" t="e">
        <f>IF(AND(#REF!="Muy Alta",#REF!="Mayor"),CONCATENATE("R1C",#REF!),"")</f>
        <v>#REF!</v>
      </c>
      <c r="AC6" s="20" t="e">
        <f>IF(AND(#REF!="Muy Alta",#REF!="Mayor"),CONCATENATE("R1C",#REF!),"")</f>
        <v>#REF!</v>
      </c>
      <c r="AD6" s="20" t="e">
        <f>IF(AND(#REF!="Muy Alta",#REF!="Mayor"),CONCATENATE("R1C",#REF!),"")</f>
        <v>#REF!</v>
      </c>
      <c r="AE6" s="20" t="e">
        <f>IF(AND(#REF!="Muy Alta",#REF!="Mayor"),CONCATENATE("R1C",#REF!),"")</f>
        <v>#REF!</v>
      </c>
      <c r="AF6" s="20" t="e">
        <f>IF(AND(#REF!="Muy Alta",#REF!="Mayor"),CONCATENATE("R1C",#REF!),"")</f>
        <v>#REF!</v>
      </c>
      <c r="AG6" s="21" t="e">
        <f>IF(AND(#REF!="Muy Alta",#REF!="Mayor"),CONCATENATE("R1C",#REF!),"")</f>
        <v>#REF!</v>
      </c>
      <c r="AH6" s="22" t="e">
        <f>IF(AND(#REF!="Muy Alta",#REF!="Catastrófico"),CONCATENATE("R1C",#REF!),"")</f>
        <v>#REF!</v>
      </c>
      <c r="AI6" s="23" t="e">
        <f>IF(AND(#REF!="Muy Alta",#REF!="Catastrófico"),CONCATENATE("R1C",#REF!),"")</f>
        <v>#REF!</v>
      </c>
      <c r="AJ6" s="23" t="e">
        <f>IF(AND(#REF!="Muy Alta",#REF!="Catastrófico"),CONCATENATE("R1C",#REF!),"")</f>
        <v>#REF!</v>
      </c>
      <c r="AK6" s="23" t="e">
        <f>IF(AND(#REF!="Muy Alta",#REF!="Catastrófico"),CONCATENATE("R1C",#REF!),"")</f>
        <v>#REF!</v>
      </c>
      <c r="AL6" s="23" t="e">
        <f>IF(AND(#REF!="Muy Alta",#REF!="Catastrófico"),CONCATENATE("R1C",#REF!),"")</f>
        <v>#REF!</v>
      </c>
      <c r="AM6" s="24" t="e">
        <f>IF(AND(#REF!="Muy Alta",#REF!="Catastrófico"),CONCATENATE("R1C",#REF!),"")</f>
        <v>#REF!</v>
      </c>
      <c r="AN6" s="115"/>
      <c r="AO6" s="696" t="s">
        <v>4</v>
      </c>
      <c r="AP6" s="682"/>
      <c r="AQ6" s="682"/>
      <c r="AR6" s="682"/>
      <c r="AS6" s="682"/>
      <c r="AT6" s="683"/>
      <c r="AU6" s="115"/>
      <c r="AV6" s="115"/>
      <c r="AW6" s="115"/>
      <c r="AX6" s="115"/>
      <c r="AY6" s="115"/>
      <c r="AZ6" s="115"/>
      <c r="BA6" s="115"/>
      <c r="BB6" s="115"/>
      <c r="BC6" s="115"/>
      <c r="BD6" s="115"/>
      <c r="BE6" s="115"/>
      <c r="BF6" s="115"/>
      <c r="BG6" s="115"/>
      <c r="BH6" s="115"/>
      <c r="BI6" s="115"/>
    </row>
    <row r="7" spans="1:61" ht="15" customHeight="1" x14ac:dyDescent="0.25">
      <c r="A7" s="115"/>
      <c r="B7" s="654"/>
      <c r="C7" s="670"/>
      <c r="D7" s="653"/>
      <c r="E7" s="659"/>
      <c r="F7" s="670"/>
      <c r="G7" s="670"/>
      <c r="H7" s="670"/>
      <c r="I7" s="653"/>
      <c r="J7" s="142" t="e">
        <f>IF(AND(#REF!="Muy Alta",#REF!="Leve"),CONCATENATE("R2C",#REF!),"")</f>
        <v>#REF!</v>
      </c>
      <c r="K7" s="143" t="e">
        <f>IF(AND(#REF!="Muy Alta",#REF!="Leve"),CONCATENATE("R2C",#REF!),"")</f>
        <v>#REF!</v>
      </c>
      <c r="L7" s="143" t="e">
        <f>IF(AND(#REF!="Muy Alta",#REF!="Leve"),CONCATENATE("R2C",#REF!),"")</f>
        <v>#REF!</v>
      </c>
      <c r="M7" s="143" t="e">
        <f>IF(AND(#REF!="Muy Alta",#REF!="Leve"),CONCATENATE("R2C",#REF!),"")</f>
        <v>#REF!</v>
      </c>
      <c r="N7" s="143" t="e">
        <f>IF(AND(#REF!="Muy Alta",#REF!="Leve"),CONCATENATE("R2C",#REF!),"")</f>
        <v>#REF!</v>
      </c>
      <c r="O7" s="144" t="e">
        <f>IF(AND(#REF!="Muy Alta",#REF!="Leve"),CONCATENATE("R2C",#REF!),"")</f>
        <v>#REF!</v>
      </c>
      <c r="P7" s="142" t="e">
        <f>IF(AND(#REF!="Muy Alta",#REF!="Menor"),CONCATENATE("R2C",#REF!),"")</f>
        <v>#REF!</v>
      </c>
      <c r="Q7" s="143" t="e">
        <f>IF(AND(#REF!="Muy Alta",#REF!="Menor"),CONCATENATE("R2C",#REF!),"")</f>
        <v>#REF!</v>
      </c>
      <c r="R7" s="143" t="e">
        <f>IF(AND(#REF!="Muy Alta",#REF!="Menor"),CONCATENATE("R2C",#REF!),"")</f>
        <v>#REF!</v>
      </c>
      <c r="S7" s="143" t="e">
        <f>IF(AND(#REF!="Muy Alta",#REF!="Menor"),CONCATENATE("R2C",#REF!),"")</f>
        <v>#REF!</v>
      </c>
      <c r="T7" s="143" t="e">
        <f>IF(AND(#REF!="Muy Alta",#REF!="Menor"),CONCATENATE("R2C",#REF!),"")</f>
        <v>#REF!</v>
      </c>
      <c r="U7" s="144" t="e">
        <f>IF(AND(#REF!="Muy Alta",#REF!="Menor"),CONCATENATE("R2C",#REF!),"")</f>
        <v>#REF!</v>
      </c>
      <c r="V7" s="142" t="e">
        <f>IF(AND(#REF!="Muy Alta",#REF!="Moderado"),CONCATENATE("R2C",#REF!),"")</f>
        <v>#REF!</v>
      </c>
      <c r="W7" s="143" t="e">
        <f>IF(AND(#REF!="Muy Alta",#REF!="Moderado"),CONCATENATE("R2C",#REF!),"")</f>
        <v>#REF!</v>
      </c>
      <c r="X7" s="143" t="e">
        <f>IF(AND(#REF!="Muy Alta",#REF!="Moderado"),CONCATENATE("R2C",#REF!),"")</f>
        <v>#REF!</v>
      </c>
      <c r="Y7" s="143" t="e">
        <f>IF(AND(#REF!="Muy Alta",#REF!="Moderado"),CONCATENATE("R2C",#REF!),"")</f>
        <v>#REF!</v>
      </c>
      <c r="Z7" s="143" t="e">
        <f>IF(AND(#REF!="Muy Alta",#REF!="Moderado"),CONCATENATE("R2C",#REF!),"")</f>
        <v>#REF!</v>
      </c>
      <c r="AA7" s="144" t="e">
        <f>IF(AND(#REF!="Muy Alta",#REF!="Moderado"),CONCATENATE("R2C",#REF!),"")</f>
        <v>#REF!</v>
      </c>
      <c r="AB7" s="142" t="e">
        <f>IF(AND(#REF!="Muy Alta",#REF!="Mayor"),CONCATENATE("R2C",#REF!),"")</f>
        <v>#REF!</v>
      </c>
      <c r="AC7" s="143" t="e">
        <f>IF(AND(#REF!="Muy Alta",#REF!="Mayor"),CONCATENATE("R2C",#REF!),"")</f>
        <v>#REF!</v>
      </c>
      <c r="AD7" s="143" t="e">
        <f>IF(AND(#REF!="Muy Alta",#REF!="Mayor"),CONCATENATE("R2C",#REF!),"")</f>
        <v>#REF!</v>
      </c>
      <c r="AE7" s="143" t="e">
        <f>IF(AND(#REF!="Muy Alta",#REF!="Mayor"),CONCATENATE("R2C",#REF!),"")</f>
        <v>#REF!</v>
      </c>
      <c r="AF7" s="143" t="e">
        <f>IF(AND(#REF!="Muy Alta",#REF!="Mayor"),CONCATENATE("R2C",#REF!),"")</f>
        <v>#REF!</v>
      </c>
      <c r="AG7" s="144" t="e">
        <f>IF(AND(#REF!="Muy Alta",#REF!="Mayor"),CONCATENATE("R2C",#REF!),"")</f>
        <v>#REF!</v>
      </c>
      <c r="AH7" s="145" t="e">
        <f>IF(AND(#REF!="Muy Alta",#REF!="Catastrófico"),CONCATENATE("R2C",#REF!),"")</f>
        <v>#REF!</v>
      </c>
      <c r="AI7" s="146" t="e">
        <f>IF(AND(#REF!="Muy Alta",#REF!="Catastrófico"),CONCATENATE("R2C",#REF!),"")</f>
        <v>#REF!</v>
      </c>
      <c r="AJ7" s="146" t="e">
        <f>IF(AND(#REF!="Muy Alta",#REF!="Catastrófico"),CONCATENATE("R2C",#REF!),"")</f>
        <v>#REF!</v>
      </c>
      <c r="AK7" s="146" t="e">
        <f>IF(AND(#REF!="Muy Alta",#REF!="Catastrófico"),CONCATENATE("R2C",#REF!),"")</f>
        <v>#REF!</v>
      </c>
      <c r="AL7" s="146" t="e">
        <f>IF(AND(#REF!="Muy Alta",#REF!="Catastrófico"),CONCATENATE("R2C",#REF!),"")</f>
        <v>#REF!</v>
      </c>
      <c r="AM7" s="147" t="e">
        <f>IF(AND(#REF!="Muy Alta",#REF!="Catastrófico"),CONCATENATE("R2C",#REF!),"")</f>
        <v>#REF!</v>
      </c>
      <c r="AN7" s="115"/>
      <c r="AO7" s="684"/>
      <c r="AP7" s="670"/>
      <c r="AQ7" s="670"/>
      <c r="AR7" s="670"/>
      <c r="AS7" s="670"/>
      <c r="AT7" s="685"/>
      <c r="AU7" s="115"/>
      <c r="AV7" s="115"/>
      <c r="AW7" s="115"/>
      <c r="AX7" s="115"/>
      <c r="AY7" s="115"/>
      <c r="AZ7" s="115"/>
      <c r="BA7" s="115"/>
      <c r="BB7" s="115"/>
      <c r="BC7" s="115"/>
      <c r="BD7" s="115"/>
      <c r="BE7" s="115"/>
      <c r="BF7" s="115"/>
      <c r="BG7" s="115"/>
      <c r="BH7" s="115"/>
      <c r="BI7" s="115"/>
    </row>
    <row r="8" spans="1:61" ht="15" customHeight="1" x14ac:dyDescent="0.25">
      <c r="A8" s="115"/>
      <c r="B8" s="654"/>
      <c r="C8" s="670"/>
      <c r="D8" s="653"/>
      <c r="E8" s="659"/>
      <c r="F8" s="670"/>
      <c r="G8" s="670"/>
      <c r="H8" s="670"/>
      <c r="I8" s="653"/>
      <c r="J8" s="142" t="e">
        <f>IF(AND(#REF!="Muy Alta",#REF!="Leve"),CONCATENATE("R3C",#REF!),"")</f>
        <v>#REF!</v>
      </c>
      <c r="K8" s="143" t="e">
        <f>IF(AND(#REF!="Muy Alta",#REF!="Leve"),CONCATENATE("R3C",#REF!),"")</f>
        <v>#REF!</v>
      </c>
      <c r="L8" s="143" t="e">
        <f>IF(AND(#REF!="Muy Alta",#REF!="Leve"),CONCATENATE("R3C",#REF!),"")</f>
        <v>#REF!</v>
      </c>
      <c r="M8" s="143" t="e">
        <f>IF(AND(#REF!="Muy Alta",#REF!="Leve"),CONCATENATE("R3C",#REF!),"")</f>
        <v>#REF!</v>
      </c>
      <c r="N8" s="143" t="e">
        <f>IF(AND(#REF!="Muy Alta",#REF!="Leve"),CONCATENATE("R3C",#REF!),"")</f>
        <v>#REF!</v>
      </c>
      <c r="O8" s="144" t="e">
        <f>IF(AND(#REF!="Muy Alta",#REF!="Leve"),CONCATENATE("R3C",#REF!),"")</f>
        <v>#REF!</v>
      </c>
      <c r="P8" s="142" t="e">
        <f>IF(AND(#REF!="Muy Alta",#REF!="Menor"),CONCATENATE("R3C",#REF!),"")</f>
        <v>#REF!</v>
      </c>
      <c r="Q8" s="143" t="e">
        <f>IF(AND(#REF!="Muy Alta",#REF!="Menor"),CONCATENATE("R3C",#REF!),"")</f>
        <v>#REF!</v>
      </c>
      <c r="R8" s="143" t="e">
        <f>IF(AND(#REF!="Muy Alta",#REF!="Menor"),CONCATENATE("R3C",#REF!),"")</f>
        <v>#REF!</v>
      </c>
      <c r="S8" s="143" t="e">
        <f>IF(AND(#REF!="Muy Alta",#REF!="Menor"),CONCATENATE("R3C",#REF!),"")</f>
        <v>#REF!</v>
      </c>
      <c r="T8" s="143" t="e">
        <f>IF(AND(#REF!="Muy Alta",#REF!="Menor"),CONCATENATE("R3C",#REF!),"")</f>
        <v>#REF!</v>
      </c>
      <c r="U8" s="144" t="e">
        <f>IF(AND(#REF!="Muy Alta",#REF!="Menor"),CONCATENATE("R3C",#REF!),"")</f>
        <v>#REF!</v>
      </c>
      <c r="V8" s="142" t="e">
        <f>IF(AND(#REF!="Muy Alta",#REF!="Moderado"),CONCATENATE("R3C",#REF!),"")</f>
        <v>#REF!</v>
      </c>
      <c r="W8" s="143" t="e">
        <f>IF(AND(#REF!="Muy Alta",#REF!="Moderado"),CONCATENATE("R3C",#REF!),"")</f>
        <v>#REF!</v>
      </c>
      <c r="X8" s="143" t="e">
        <f>IF(AND(#REF!="Muy Alta",#REF!="Moderado"),CONCATENATE("R3C",#REF!),"")</f>
        <v>#REF!</v>
      </c>
      <c r="Y8" s="143" t="e">
        <f>IF(AND(#REF!="Muy Alta",#REF!="Moderado"),CONCATENATE("R3C",#REF!),"")</f>
        <v>#REF!</v>
      </c>
      <c r="Z8" s="143" t="e">
        <f>IF(AND(#REF!="Muy Alta",#REF!="Moderado"),CONCATENATE("R3C",#REF!),"")</f>
        <v>#REF!</v>
      </c>
      <c r="AA8" s="144" t="e">
        <f>IF(AND(#REF!="Muy Alta",#REF!="Moderado"),CONCATENATE("R3C",#REF!),"")</f>
        <v>#REF!</v>
      </c>
      <c r="AB8" s="142" t="e">
        <f>IF(AND(#REF!="Muy Alta",#REF!="Mayor"),CONCATENATE("R3C",#REF!),"")</f>
        <v>#REF!</v>
      </c>
      <c r="AC8" s="143" t="e">
        <f>IF(AND(#REF!="Muy Alta",#REF!="Mayor"),CONCATENATE("R3C",#REF!),"")</f>
        <v>#REF!</v>
      </c>
      <c r="AD8" s="143" t="e">
        <f>IF(AND(#REF!="Muy Alta",#REF!="Mayor"),CONCATENATE("R3C",#REF!),"")</f>
        <v>#REF!</v>
      </c>
      <c r="AE8" s="143" t="e">
        <f>IF(AND(#REF!="Muy Alta",#REF!="Mayor"),CONCATENATE("R3C",#REF!),"")</f>
        <v>#REF!</v>
      </c>
      <c r="AF8" s="143" t="e">
        <f>IF(AND(#REF!="Muy Alta",#REF!="Mayor"),CONCATENATE("R3C",#REF!),"")</f>
        <v>#REF!</v>
      </c>
      <c r="AG8" s="144" t="e">
        <f>IF(AND(#REF!="Muy Alta",#REF!="Mayor"),CONCATENATE("R3C",#REF!),"")</f>
        <v>#REF!</v>
      </c>
      <c r="AH8" s="145" t="e">
        <f>IF(AND(#REF!="Muy Alta",#REF!="Catastrófico"),CONCATENATE("R3C",#REF!),"")</f>
        <v>#REF!</v>
      </c>
      <c r="AI8" s="146" t="e">
        <f>IF(AND(#REF!="Muy Alta",#REF!="Catastrófico"),CONCATENATE("R3C",#REF!),"")</f>
        <v>#REF!</v>
      </c>
      <c r="AJ8" s="146" t="e">
        <f>IF(AND(#REF!="Muy Alta",#REF!="Catastrófico"),CONCATENATE("R3C",#REF!),"")</f>
        <v>#REF!</v>
      </c>
      <c r="AK8" s="146" t="e">
        <f>IF(AND(#REF!="Muy Alta",#REF!="Catastrófico"),CONCATENATE("R3C",#REF!),"")</f>
        <v>#REF!</v>
      </c>
      <c r="AL8" s="146" t="e">
        <f>IF(AND(#REF!="Muy Alta",#REF!="Catastrófico"),CONCATENATE("R3C",#REF!),"")</f>
        <v>#REF!</v>
      </c>
      <c r="AM8" s="147" t="e">
        <f>IF(AND(#REF!="Muy Alta",#REF!="Catastrófico"),CONCATENATE("R3C",#REF!),"")</f>
        <v>#REF!</v>
      </c>
      <c r="AN8" s="115"/>
      <c r="AO8" s="684"/>
      <c r="AP8" s="670"/>
      <c r="AQ8" s="670"/>
      <c r="AR8" s="670"/>
      <c r="AS8" s="670"/>
      <c r="AT8" s="685"/>
      <c r="AU8" s="115"/>
      <c r="AV8" s="115"/>
      <c r="AW8" s="115"/>
      <c r="AX8" s="115"/>
      <c r="AY8" s="115"/>
      <c r="AZ8" s="115"/>
      <c r="BA8" s="115"/>
      <c r="BB8" s="115"/>
      <c r="BC8" s="115"/>
      <c r="BD8" s="115"/>
      <c r="BE8" s="115"/>
      <c r="BF8" s="115"/>
      <c r="BG8" s="115"/>
      <c r="BH8" s="115"/>
      <c r="BI8" s="115"/>
    </row>
    <row r="9" spans="1:61" ht="15" customHeight="1" x14ac:dyDescent="0.25">
      <c r="A9" s="115"/>
      <c r="B9" s="654"/>
      <c r="C9" s="670"/>
      <c r="D9" s="653"/>
      <c r="E9" s="659"/>
      <c r="F9" s="670"/>
      <c r="G9" s="670"/>
      <c r="H9" s="670"/>
      <c r="I9" s="653"/>
      <c r="J9" s="142" t="e">
        <f>IF(AND(#REF!="Muy Alta",#REF!="Leve"),CONCATENATE("R4C",#REF!),"")</f>
        <v>#REF!</v>
      </c>
      <c r="K9" s="143" t="e">
        <f>IF(AND(#REF!="Muy Alta",#REF!="Leve"),CONCATENATE("R4C",#REF!),"")</f>
        <v>#REF!</v>
      </c>
      <c r="L9" s="143" t="e">
        <f>IF(AND(#REF!="Muy Alta",#REF!="Leve"),CONCATENATE("R4C",#REF!),"")</f>
        <v>#REF!</v>
      </c>
      <c r="M9" s="143" t="e">
        <f>IF(AND(#REF!="Muy Alta",#REF!="Leve"),CONCATENATE("R4C",#REF!),"")</f>
        <v>#REF!</v>
      </c>
      <c r="N9" s="143" t="e">
        <f>IF(AND(#REF!="Muy Alta",#REF!="Leve"),CONCATENATE("R4C",#REF!),"")</f>
        <v>#REF!</v>
      </c>
      <c r="O9" s="144" t="e">
        <f>IF(AND(#REF!="Muy Alta",#REF!="Leve"),CONCATENATE("R4C",#REF!),"")</f>
        <v>#REF!</v>
      </c>
      <c r="P9" s="142" t="e">
        <f>IF(AND(#REF!="Muy Alta",#REF!="Menor"),CONCATENATE("R4C",#REF!),"")</f>
        <v>#REF!</v>
      </c>
      <c r="Q9" s="143" t="e">
        <f>IF(AND(#REF!="Muy Alta",#REF!="Menor"),CONCATENATE("R4C",#REF!),"")</f>
        <v>#REF!</v>
      </c>
      <c r="R9" s="143" t="e">
        <f>IF(AND(#REF!="Muy Alta",#REF!="Menor"),CONCATENATE("R4C",#REF!),"")</f>
        <v>#REF!</v>
      </c>
      <c r="S9" s="143" t="e">
        <f>IF(AND(#REF!="Muy Alta",#REF!="Menor"),CONCATENATE("R4C",#REF!),"")</f>
        <v>#REF!</v>
      </c>
      <c r="T9" s="143" t="e">
        <f>IF(AND(#REF!="Muy Alta",#REF!="Menor"),CONCATENATE("R4C",#REF!),"")</f>
        <v>#REF!</v>
      </c>
      <c r="U9" s="144" t="e">
        <f>IF(AND(#REF!="Muy Alta",#REF!="Menor"),CONCATENATE("R4C",#REF!),"")</f>
        <v>#REF!</v>
      </c>
      <c r="V9" s="142" t="e">
        <f>IF(AND(#REF!="Muy Alta",#REF!="Moderado"),CONCATENATE("R4C",#REF!),"")</f>
        <v>#REF!</v>
      </c>
      <c r="W9" s="143" t="e">
        <f>IF(AND(#REF!="Muy Alta",#REF!="Moderado"),CONCATENATE("R4C",#REF!),"")</f>
        <v>#REF!</v>
      </c>
      <c r="X9" s="143" t="e">
        <f>IF(AND(#REF!="Muy Alta",#REF!="Moderado"),CONCATENATE("R4C",#REF!),"")</f>
        <v>#REF!</v>
      </c>
      <c r="Y9" s="143" t="e">
        <f>IF(AND(#REF!="Muy Alta",#REF!="Moderado"),CONCATENATE("R4C",#REF!),"")</f>
        <v>#REF!</v>
      </c>
      <c r="Z9" s="143" t="e">
        <f>IF(AND(#REF!="Muy Alta",#REF!="Moderado"),CONCATENATE("R4C",#REF!),"")</f>
        <v>#REF!</v>
      </c>
      <c r="AA9" s="144" t="e">
        <f>IF(AND(#REF!="Muy Alta",#REF!="Moderado"),CONCATENATE("R4C",#REF!),"")</f>
        <v>#REF!</v>
      </c>
      <c r="AB9" s="142" t="e">
        <f>IF(AND(#REF!="Muy Alta",#REF!="Mayor"),CONCATENATE("R4C",#REF!),"")</f>
        <v>#REF!</v>
      </c>
      <c r="AC9" s="143" t="e">
        <f>IF(AND(#REF!="Muy Alta",#REF!="Mayor"),CONCATENATE("R4C",#REF!),"")</f>
        <v>#REF!</v>
      </c>
      <c r="AD9" s="143" t="e">
        <f>IF(AND(#REF!="Muy Alta",#REF!="Mayor"),CONCATENATE("R4C",#REF!),"")</f>
        <v>#REF!</v>
      </c>
      <c r="AE9" s="143" t="e">
        <f>IF(AND(#REF!="Muy Alta",#REF!="Mayor"),CONCATENATE("R4C",#REF!),"")</f>
        <v>#REF!</v>
      </c>
      <c r="AF9" s="143" t="e">
        <f>IF(AND(#REF!="Muy Alta",#REF!="Mayor"),CONCATENATE("R4C",#REF!),"")</f>
        <v>#REF!</v>
      </c>
      <c r="AG9" s="144" t="e">
        <f>IF(AND(#REF!="Muy Alta",#REF!="Mayor"),CONCATENATE("R4C",#REF!),"")</f>
        <v>#REF!</v>
      </c>
      <c r="AH9" s="145" t="e">
        <f>IF(AND(#REF!="Muy Alta",#REF!="Catastrófico"),CONCATENATE("R4C",#REF!),"")</f>
        <v>#REF!</v>
      </c>
      <c r="AI9" s="146" t="e">
        <f>IF(AND(#REF!="Muy Alta",#REF!="Catastrófico"),CONCATENATE("R4C",#REF!),"")</f>
        <v>#REF!</v>
      </c>
      <c r="AJ9" s="146" t="e">
        <f>IF(AND(#REF!="Muy Alta",#REF!="Catastrófico"),CONCATENATE("R4C",#REF!),"")</f>
        <v>#REF!</v>
      </c>
      <c r="AK9" s="146" t="e">
        <f>IF(AND(#REF!="Muy Alta",#REF!="Catastrófico"),CONCATENATE("R4C",#REF!),"")</f>
        <v>#REF!</v>
      </c>
      <c r="AL9" s="146" t="e">
        <f>IF(AND(#REF!="Muy Alta",#REF!="Catastrófico"),CONCATENATE("R4C",#REF!),"")</f>
        <v>#REF!</v>
      </c>
      <c r="AM9" s="147" t="e">
        <f>IF(AND(#REF!="Muy Alta",#REF!="Catastrófico"),CONCATENATE("R4C",#REF!),"")</f>
        <v>#REF!</v>
      </c>
      <c r="AN9" s="115"/>
      <c r="AO9" s="684"/>
      <c r="AP9" s="670"/>
      <c r="AQ9" s="670"/>
      <c r="AR9" s="670"/>
      <c r="AS9" s="670"/>
      <c r="AT9" s="685"/>
      <c r="AU9" s="115"/>
      <c r="AV9" s="115"/>
      <c r="AW9" s="115"/>
      <c r="AX9" s="115"/>
      <c r="AY9" s="115"/>
      <c r="AZ9" s="115"/>
      <c r="BA9" s="115"/>
      <c r="BB9" s="115"/>
      <c r="BC9" s="115"/>
      <c r="BD9" s="115"/>
      <c r="BE9" s="115"/>
      <c r="BF9" s="115"/>
      <c r="BG9" s="115"/>
      <c r="BH9" s="115"/>
      <c r="BI9" s="115"/>
    </row>
    <row r="10" spans="1:61" ht="15" customHeight="1" x14ac:dyDescent="0.25">
      <c r="A10" s="115"/>
      <c r="B10" s="654"/>
      <c r="C10" s="670"/>
      <c r="D10" s="653"/>
      <c r="E10" s="659"/>
      <c r="F10" s="670"/>
      <c r="G10" s="670"/>
      <c r="H10" s="670"/>
      <c r="I10" s="653"/>
      <c r="J10" s="142" t="e">
        <f>IF(AND(#REF!="Muy Alta",#REF!="Leve"),CONCATENATE("R5C",#REF!),"")</f>
        <v>#REF!</v>
      </c>
      <c r="K10" s="143" t="e">
        <f>IF(AND(#REF!="Muy Alta",#REF!="Leve"),CONCATENATE("R5C",#REF!),"")</f>
        <v>#REF!</v>
      </c>
      <c r="L10" s="143" t="e">
        <f>IF(AND(#REF!="Muy Alta",#REF!="Leve"),CONCATENATE("R5C",#REF!),"")</f>
        <v>#REF!</v>
      </c>
      <c r="M10" s="143" t="e">
        <f>IF(AND(#REF!="Muy Alta",#REF!="Leve"),CONCATENATE("R5C",#REF!),"")</f>
        <v>#REF!</v>
      </c>
      <c r="N10" s="143" t="e">
        <f>IF(AND(#REF!="Muy Alta",#REF!="Leve"),CONCATENATE("R5C",#REF!),"")</f>
        <v>#REF!</v>
      </c>
      <c r="O10" s="144" t="e">
        <f>IF(AND(#REF!="Muy Alta",#REF!="Leve"),CONCATENATE("R5C",#REF!),"")</f>
        <v>#REF!</v>
      </c>
      <c r="P10" s="142" t="e">
        <f>IF(AND(#REF!="Muy Alta",#REF!="Menor"),CONCATENATE("R5C",#REF!),"")</f>
        <v>#REF!</v>
      </c>
      <c r="Q10" s="143" t="e">
        <f>IF(AND(#REF!="Muy Alta",#REF!="Menor"),CONCATENATE("R5C",#REF!),"")</f>
        <v>#REF!</v>
      </c>
      <c r="R10" s="143" t="e">
        <f>IF(AND(#REF!="Muy Alta",#REF!="Menor"),CONCATENATE("R5C",#REF!),"")</f>
        <v>#REF!</v>
      </c>
      <c r="S10" s="143" t="e">
        <f>IF(AND(#REF!="Muy Alta",#REF!="Menor"),CONCATENATE("R5C",#REF!),"")</f>
        <v>#REF!</v>
      </c>
      <c r="T10" s="143" t="e">
        <f>IF(AND(#REF!="Muy Alta",#REF!="Menor"),CONCATENATE("R5C",#REF!),"")</f>
        <v>#REF!</v>
      </c>
      <c r="U10" s="144" t="e">
        <f>IF(AND(#REF!="Muy Alta",#REF!="Menor"),CONCATENATE("R5C",#REF!),"")</f>
        <v>#REF!</v>
      </c>
      <c r="V10" s="142" t="e">
        <f>IF(AND(#REF!="Muy Alta",#REF!="Moderado"),CONCATENATE("R5C",#REF!),"")</f>
        <v>#REF!</v>
      </c>
      <c r="W10" s="143" t="e">
        <f>IF(AND(#REF!="Muy Alta",#REF!="Moderado"),CONCATENATE("R5C",#REF!),"")</f>
        <v>#REF!</v>
      </c>
      <c r="X10" s="143" t="e">
        <f>IF(AND(#REF!="Muy Alta",#REF!="Moderado"),CONCATENATE("R5C",#REF!),"")</f>
        <v>#REF!</v>
      </c>
      <c r="Y10" s="143" t="e">
        <f>IF(AND(#REF!="Muy Alta",#REF!="Moderado"),CONCATENATE("R5C",#REF!),"")</f>
        <v>#REF!</v>
      </c>
      <c r="Z10" s="143" t="e">
        <f>IF(AND(#REF!="Muy Alta",#REF!="Moderado"),CONCATENATE("R5C",#REF!),"")</f>
        <v>#REF!</v>
      </c>
      <c r="AA10" s="144" t="e">
        <f>IF(AND(#REF!="Muy Alta",#REF!="Moderado"),CONCATENATE("R5C",#REF!),"")</f>
        <v>#REF!</v>
      </c>
      <c r="AB10" s="142" t="e">
        <f>IF(AND(#REF!="Muy Alta",#REF!="Mayor"),CONCATENATE("R5C",#REF!),"")</f>
        <v>#REF!</v>
      </c>
      <c r="AC10" s="143" t="e">
        <f>IF(AND(#REF!="Muy Alta",#REF!="Mayor"),CONCATENATE("R5C",#REF!),"")</f>
        <v>#REF!</v>
      </c>
      <c r="AD10" s="143" t="e">
        <f>IF(AND(#REF!="Muy Alta",#REF!="Mayor"),CONCATENATE("R5C",#REF!),"")</f>
        <v>#REF!</v>
      </c>
      <c r="AE10" s="143" t="e">
        <f>IF(AND(#REF!="Muy Alta",#REF!="Mayor"),CONCATENATE("R5C",#REF!),"")</f>
        <v>#REF!</v>
      </c>
      <c r="AF10" s="143" t="e">
        <f>IF(AND(#REF!="Muy Alta",#REF!="Mayor"),CONCATENATE("R5C",#REF!),"")</f>
        <v>#REF!</v>
      </c>
      <c r="AG10" s="144" t="e">
        <f>IF(AND(#REF!="Muy Alta",#REF!="Mayor"),CONCATENATE("R5C",#REF!),"")</f>
        <v>#REF!</v>
      </c>
      <c r="AH10" s="145" t="e">
        <f>IF(AND(#REF!="Muy Alta",#REF!="Catastrófico"),CONCATENATE("R5C",#REF!),"")</f>
        <v>#REF!</v>
      </c>
      <c r="AI10" s="146" t="e">
        <f>IF(AND(#REF!="Muy Alta",#REF!="Catastrófico"),CONCATENATE("R5C",#REF!),"")</f>
        <v>#REF!</v>
      </c>
      <c r="AJ10" s="146" t="e">
        <f>IF(AND(#REF!="Muy Alta",#REF!="Catastrófico"),CONCATENATE("R5C",#REF!),"")</f>
        <v>#REF!</v>
      </c>
      <c r="AK10" s="146" t="e">
        <f>IF(AND(#REF!="Muy Alta",#REF!="Catastrófico"),CONCATENATE("R5C",#REF!),"")</f>
        <v>#REF!</v>
      </c>
      <c r="AL10" s="146" t="e">
        <f>IF(AND(#REF!="Muy Alta",#REF!="Catastrófico"),CONCATENATE("R5C",#REF!),"")</f>
        <v>#REF!</v>
      </c>
      <c r="AM10" s="147" t="e">
        <f>IF(AND(#REF!="Muy Alta",#REF!="Catastrófico"),CONCATENATE("R5C",#REF!),"")</f>
        <v>#REF!</v>
      </c>
      <c r="AN10" s="115"/>
      <c r="AO10" s="684"/>
      <c r="AP10" s="670"/>
      <c r="AQ10" s="670"/>
      <c r="AR10" s="670"/>
      <c r="AS10" s="670"/>
      <c r="AT10" s="685"/>
      <c r="AU10" s="115"/>
      <c r="AV10" s="115"/>
      <c r="AW10" s="115"/>
      <c r="AX10" s="115"/>
      <c r="AY10" s="115"/>
      <c r="AZ10" s="115"/>
      <c r="BA10" s="115"/>
      <c r="BB10" s="115"/>
      <c r="BC10" s="115"/>
      <c r="BD10" s="115"/>
      <c r="BE10" s="115"/>
      <c r="BF10" s="115"/>
      <c r="BG10" s="115"/>
      <c r="BH10" s="115"/>
      <c r="BI10" s="115"/>
    </row>
    <row r="11" spans="1:61" ht="15" customHeight="1" x14ac:dyDescent="0.25">
      <c r="A11" s="115"/>
      <c r="B11" s="654"/>
      <c r="C11" s="670"/>
      <c r="D11" s="653"/>
      <c r="E11" s="659"/>
      <c r="F11" s="670"/>
      <c r="G11" s="670"/>
      <c r="H11" s="670"/>
      <c r="I11" s="653"/>
      <c r="J11" s="142" t="e">
        <f>IF(AND(#REF!="Muy Alta",#REF!="Leve"),CONCATENATE("R6C",#REF!),"")</f>
        <v>#REF!</v>
      </c>
      <c r="K11" s="143" t="e">
        <f>IF(AND(#REF!="Muy Alta",#REF!="Leve"),CONCATENATE("R6C",#REF!),"")</f>
        <v>#REF!</v>
      </c>
      <c r="L11" s="143" t="e">
        <f>IF(AND(#REF!="Muy Alta",#REF!="Leve"),CONCATENATE("R6C",#REF!),"")</f>
        <v>#REF!</v>
      </c>
      <c r="M11" s="143" t="e">
        <f>IF(AND(#REF!="Muy Alta",#REF!="Leve"),CONCATENATE("R6C",#REF!),"")</f>
        <v>#REF!</v>
      </c>
      <c r="N11" s="143" t="e">
        <f>IF(AND(#REF!="Muy Alta",#REF!="Leve"),CONCATENATE("R6C",#REF!),"")</f>
        <v>#REF!</v>
      </c>
      <c r="O11" s="144" t="e">
        <f>IF(AND(#REF!="Muy Alta",#REF!="Leve"),CONCATENATE("R6C",#REF!),"")</f>
        <v>#REF!</v>
      </c>
      <c r="P11" s="142" t="e">
        <f>IF(AND(#REF!="Muy Alta",#REF!="Menor"),CONCATENATE("R6C",#REF!),"")</f>
        <v>#REF!</v>
      </c>
      <c r="Q11" s="143" t="e">
        <f>IF(AND(#REF!="Muy Alta",#REF!="Menor"),CONCATENATE("R6C",#REF!),"")</f>
        <v>#REF!</v>
      </c>
      <c r="R11" s="143" t="e">
        <f>IF(AND(#REF!="Muy Alta",#REF!="Menor"),CONCATENATE("R6C",#REF!),"")</f>
        <v>#REF!</v>
      </c>
      <c r="S11" s="143" t="e">
        <f>IF(AND(#REF!="Muy Alta",#REF!="Menor"),CONCATENATE("R6C",#REF!),"")</f>
        <v>#REF!</v>
      </c>
      <c r="T11" s="143" t="e">
        <f>IF(AND(#REF!="Muy Alta",#REF!="Menor"),CONCATENATE("R6C",#REF!),"")</f>
        <v>#REF!</v>
      </c>
      <c r="U11" s="144" t="e">
        <f>IF(AND(#REF!="Muy Alta",#REF!="Menor"),CONCATENATE("R6C",#REF!),"")</f>
        <v>#REF!</v>
      </c>
      <c r="V11" s="142" t="e">
        <f>IF(AND(#REF!="Muy Alta",#REF!="Moderado"),CONCATENATE("R6C",#REF!),"")</f>
        <v>#REF!</v>
      </c>
      <c r="W11" s="143" t="e">
        <f>IF(AND(#REF!="Muy Alta",#REF!="Moderado"),CONCATENATE("R6C",#REF!),"")</f>
        <v>#REF!</v>
      </c>
      <c r="X11" s="143" t="e">
        <f>IF(AND(#REF!="Muy Alta",#REF!="Moderado"),CONCATENATE("R6C",#REF!),"")</f>
        <v>#REF!</v>
      </c>
      <c r="Y11" s="143" t="e">
        <f>IF(AND(#REF!="Muy Alta",#REF!="Moderado"),CONCATENATE("R6C",#REF!),"")</f>
        <v>#REF!</v>
      </c>
      <c r="Z11" s="143" t="e">
        <f>IF(AND(#REF!="Muy Alta",#REF!="Moderado"),CONCATENATE("R6C",#REF!),"")</f>
        <v>#REF!</v>
      </c>
      <c r="AA11" s="144" t="e">
        <f>IF(AND(#REF!="Muy Alta",#REF!="Moderado"),CONCATENATE("R6C",#REF!),"")</f>
        <v>#REF!</v>
      </c>
      <c r="AB11" s="142" t="e">
        <f>IF(AND(#REF!="Muy Alta",#REF!="Mayor"),CONCATENATE("R6C",#REF!),"")</f>
        <v>#REF!</v>
      </c>
      <c r="AC11" s="143" t="e">
        <f>IF(AND(#REF!="Muy Alta",#REF!="Mayor"),CONCATENATE("R6C",#REF!),"")</f>
        <v>#REF!</v>
      </c>
      <c r="AD11" s="143" t="e">
        <f>IF(AND(#REF!="Muy Alta",#REF!="Mayor"),CONCATENATE("R6C",#REF!),"")</f>
        <v>#REF!</v>
      </c>
      <c r="AE11" s="143" t="e">
        <f>IF(AND(#REF!="Muy Alta",#REF!="Mayor"),CONCATENATE("R6C",#REF!),"")</f>
        <v>#REF!</v>
      </c>
      <c r="AF11" s="143" t="e">
        <f>IF(AND(#REF!="Muy Alta",#REF!="Mayor"),CONCATENATE("R6C",#REF!),"")</f>
        <v>#REF!</v>
      </c>
      <c r="AG11" s="144" t="e">
        <f>IF(AND(#REF!="Muy Alta",#REF!="Mayor"),CONCATENATE("R6C",#REF!),"")</f>
        <v>#REF!</v>
      </c>
      <c r="AH11" s="145" t="e">
        <f>IF(AND(#REF!="Muy Alta",#REF!="Catastrófico"),CONCATENATE("R6C",#REF!),"")</f>
        <v>#REF!</v>
      </c>
      <c r="AI11" s="146" t="e">
        <f>IF(AND(#REF!="Muy Alta",#REF!="Catastrófico"),CONCATENATE("R6C",#REF!),"")</f>
        <v>#REF!</v>
      </c>
      <c r="AJ11" s="146" t="e">
        <f>IF(AND(#REF!="Muy Alta",#REF!="Catastrófico"),CONCATENATE("R6C",#REF!),"")</f>
        <v>#REF!</v>
      </c>
      <c r="AK11" s="146" t="e">
        <f>IF(AND(#REF!="Muy Alta",#REF!="Catastrófico"),CONCATENATE("R6C",#REF!),"")</f>
        <v>#REF!</v>
      </c>
      <c r="AL11" s="146" t="e">
        <f>IF(AND(#REF!="Muy Alta",#REF!="Catastrófico"),CONCATENATE("R6C",#REF!),"")</f>
        <v>#REF!</v>
      </c>
      <c r="AM11" s="147" t="e">
        <f>IF(AND(#REF!="Muy Alta",#REF!="Catastrófico"),CONCATENATE("R6C",#REF!),"")</f>
        <v>#REF!</v>
      </c>
      <c r="AN11" s="115"/>
      <c r="AO11" s="684"/>
      <c r="AP11" s="670"/>
      <c r="AQ11" s="670"/>
      <c r="AR11" s="670"/>
      <c r="AS11" s="670"/>
      <c r="AT11" s="685"/>
      <c r="AU11" s="115"/>
      <c r="AV11" s="115"/>
      <c r="AW11" s="115"/>
      <c r="AX11" s="115"/>
      <c r="AY11" s="115"/>
      <c r="AZ11" s="115"/>
      <c r="BA11" s="115"/>
      <c r="BB11" s="115"/>
      <c r="BC11" s="115"/>
      <c r="BD11" s="115"/>
      <c r="BE11" s="115"/>
      <c r="BF11" s="115"/>
      <c r="BG11" s="115"/>
      <c r="BH11" s="115"/>
      <c r="BI11" s="115"/>
    </row>
    <row r="12" spans="1:61" ht="15" customHeight="1" x14ac:dyDescent="0.25">
      <c r="A12" s="115"/>
      <c r="B12" s="654"/>
      <c r="C12" s="670"/>
      <c r="D12" s="653"/>
      <c r="E12" s="659"/>
      <c r="F12" s="670"/>
      <c r="G12" s="670"/>
      <c r="H12" s="670"/>
      <c r="I12" s="653"/>
      <c r="J12" s="142" t="e">
        <f>IF(AND(#REF!="Muy Alta",#REF!="Leve"),CONCATENATE("R7C",#REF!),"")</f>
        <v>#REF!</v>
      </c>
      <c r="K12" s="143" t="e">
        <f>IF(AND(#REF!="Muy Alta",#REF!="Leve"),CONCATENATE("R7C",#REF!),"")</f>
        <v>#REF!</v>
      </c>
      <c r="L12" s="143" t="e">
        <f>IF(AND(#REF!="Muy Alta",#REF!="Leve"),CONCATENATE("R7C",#REF!),"")</f>
        <v>#REF!</v>
      </c>
      <c r="M12" s="143" t="e">
        <f>IF(AND(#REF!="Muy Alta",#REF!="Leve"),CONCATENATE("R7C",#REF!),"")</f>
        <v>#REF!</v>
      </c>
      <c r="N12" s="143" t="e">
        <f>IF(AND(#REF!="Muy Alta",#REF!="Leve"),CONCATENATE("R7C",#REF!),"")</f>
        <v>#REF!</v>
      </c>
      <c r="O12" s="144" t="e">
        <f>IF(AND(#REF!="Muy Alta",#REF!="Leve"),CONCATENATE("R7C",#REF!),"")</f>
        <v>#REF!</v>
      </c>
      <c r="P12" s="142" t="e">
        <f>IF(AND(#REF!="Muy Alta",#REF!="Menor"),CONCATENATE("R7C",#REF!),"")</f>
        <v>#REF!</v>
      </c>
      <c r="Q12" s="143" t="e">
        <f>IF(AND(#REF!="Muy Alta",#REF!="Menor"),CONCATENATE("R7C",#REF!),"")</f>
        <v>#REF!</v>
      </c>
      <c r="R12" s="143" t="e">
        <f>IF(AND(#REF!="Muy Alta",#REF!="Menor"),CONCATENATE("R7C",#REF!),"")</f>
        <v>#REF!</v>
      </c>
      <c r="S12" s="143" t="e">
        <f>IF(AND(#REF!="Muy Alta",#REF!="Menor"),CONCATENATE("R7C",#REF!),"")</f>
        <v>#REF!</v>
      </c>
      <c r="T12" s="143" t="e">
        <f>IF(AND(#REF!="Muy Alta",#REF!="Menor"),CONCATENATE("R7C",#REF!),"")</f>
        <v>#REF!</v>
      </c>
      <c r="U12" s="144" t="e">
        <f>IF(AND(#REF!="Muy Alta",#REF!="Menor"),CONCATENATE("R7C",#REF!),"")</f>
        <v>#REF!</v>
      </c>
      <c r="V12" s="142" t="e">
        <f>IF(AND(#REF!="Muy Alta",#REF!="Moderado"),CONCATENATE("R7C",#REF!),"")</f>
        <v>#REF!</v>
      </c>
      <c r="W12" s="143" t="e">
        <f>IF(AND(#REF!="Muy Alta",#REF!="Moderado"),CONCATENATE("R7C",#REF!),"")</f>
        <v>#REF!</v>
      </c>
      <c r="X12" s="143" t="e">
        <f>IF(AND(#REF!="Muy Alta",#REF!="Moderado"),CONCATENATE("R7C",#REF!),"")</f>
        <v>#REF!</v>
      </c>
      <c r="Y12" s="143" t="e">
        <f>IF(AND(#REF!="Muy Alta",#REF!="Moderado"),CONCATENATE("R7C",#REF!),"")</f>
        <v>#REF!</v>
      </c>
      <c r="Z12" s="143" t="e">
        <f>IF(AND(#REF!="Muy Alta",#REF!="Moderado"),CONCATENATE("R7C",#REF!),"")</f>
        <v>#REF!</v>
      </c>
      <c r="AA12" s="144" t="e">
        <f>IF(AND(#REF!="Muy Alta",#REF!="Moderado"),CONCATENATE("R7C",#REF!),"")</f>
        <v>#REF!</v>
      </c>
      <c r="AB12" s="142" t="e">
        <f>IF(AND(#REF!="Muy Alta",#REF!="Mayor"),CONCATENATE("R7C",#REF!),"")</f>
        <v>#REF!</v>
      </c>
      <c r="AC12" s="143" t="e">
        <f>IF(AND(#REF!="Muy Alta",#REF!="Mayor"),CONCATENATE("R7C",#REF!),"")</f>
        <v>#REF!</v>
      </c>
      <c r="AD12" s="143" t="e">
        <f>IF(AND(#REF!="Muy Alta",#REF!="Mayor"),CONCATENATE("R7C",#REF!),"")</f>
        <v>#REF!</v>
      </c>
      <c r="AE12" s="143" t="e">
        <f>IF(AND(#REF!="Muy Alta",#REF!="Mayor"),CONCATENATE("R7C",#REF!),"")</f>
        <v>#REF!</v>
      </c>
      <c r="AF12" s="143" t="e">
        <f>IF(AND(#REF!="Muy Alta",#REF!="Mayor"),CONCATENATE("R7C",#REF!),"")</f>
        <v>#REF!</v>
      </c>
      <c r="AG12" s="144" t="e">
        <f>IF(AND(#REF!="Muy Alta",#REF!="Mayor"),CONCATENATE("R7C",#REF!),"")</f>
        <v>#REF!</v>
      </c>
      <c r="AH12" s="145" t="e">
        <f>IF(AND(#REF!="Muy Alta",#REF!="Catastrófico"),CONCATENATE("R7C",#REF!),"")</f>
        <v>#REF!</v>
      </c>
      <c r="AI12" s="146" t="e">
        <f>IF(AND(#REF!="Muy Alta",#REF!="Catastrófico"),CONCATENATE("R7C",#REF!),"")</f>
        <v>#REF!</v>
      </c>
      <c r="AJ12" s="146" t="e">
        <f>IF(AND(#REF!="Muy Alta",#REF!="Catastrófico"),CONCATENATE("R7C",#REF!),"")</f>
        <v>#REF!</v>
      </c>
      <c r="AK12" s="146" t="e">
        <f>IF(AND(#REF!="Muy Alta",#REF!="Catastrófico"),CONCATENATE("R7C",#REF!),"")</f>
        <v>#REF!</v>
      </c>
      <c r="AL12" s="146" t="e">
        <f>IF(AND(#REF!="Muy Alta",#REF!="Catastrófico"),CONCATENATE("R7C",#REF!),"")</f>
        <v>#REF!</v>
      </c>
      <c r="AM12" s="147" t="e">
        <f>IF(AND(#REF!="Muy Alta",#REF!="Catastrófico"),CONCATENATE("R7C",#REF!),"")</f>
        <v>#REF!</v>
      </c>
      <c r="AN12" s="115"/>
      <c r="AO12" s="684"/>
      <c r="AP12" s="670"/>
      <c r="AQ12" s="670"/>
      <c r="AR12" s="670"/>
      <c r="AS12" s="670"/>
      <c r="AT12" s="685"/>
      <c r="AU12" s="115"/>
      <c r="AV12" s="115"/>
      <c r="AW12" s="115"/>
      <c r="AX12" s="115"/>
      <c r="AY12" s="115"/>
      <c r="AZ12" s="115"/>
      <c r="BA12" s="115"/>
      <c r="BB12" s="115"/>
      <c r="BC12" s="115"/>
      <c r="BD12" s="115"/>
      <c r="BE12" s="115"/>
      <c r="BF12" s="115"/>
      <c r="BG12" s="115"/>
      <c r="BH12" s="115"/>
      <c r="BI12" s="115"/>
    </row>
    <row r="13" spans="1:61" ht="15" customHeight="1" x14ac:dyDescent="0.25">
      <c r="A13" s="115"/>
      <c r="B13" s="654"/>
      <c r="C13" s="670"/>
      <c r="D13" s="653"/>
      <c r="E13" s="659"/>
      <c r="F13" s="670"/>
      <c r="G13" s="670"/>
      <c r="H13" s="670"/>
      <c r="I13" s="653"/>
      <c r="J13" s="142" t="e">
        <f>IF(AND(#REF!="Muy Alta",#REF!="Leve"),CONCATENATE("R8C",#REF!),"")</f>
        <v>#REF!</v>
      </c>
      <c r="K13" s="143" t="e">
        <f>IF(AND(#REF!="Muy Alta",#REF!="Leve"),CONCATENATE("R8C",#REF!),"")</f>
        <v>#REF!</v>
      </c>
      <c r="L13" s="143" t="e">
        <f>IF(AND(#REF!="Muy Alta",#REF!="Leve"),CONCATENATE("R8C",#REF!),"")</f>
        <v>#REF!</v>
      </c>
      <c r="M13" s="143" t="e">
        <f>IF(AND(#REF!="Muy Alta",#REF!="Leve"),CONCATENATE("R8C",#REF!),"")</f>
        <v>#REF!</v>
      </c>
      <c r="N13" s="143" t="e">
        <f>IF(AND(#REF!="Muy Alta",#REF!="Leve"),CONCATENATE("R8C",#REF!),"")</f>
        <v>#REF!</v>
      </c>
      <c r="O13" s="144" t="e">
        <f>IF(AND(#REF!="Muy Alta",#REF!="Leve"),CONCATENATE("R8C",#REF!),"")</f>
        <v>#REF!</v>
      </c>
      <c r="P13" s="142" t="e">
        <f>IF(AND(#REF!="Muy Alta",#REF!="Menor"),CONCATENATE("R8C",#REF!),"")</f>
        <v>#REF!</v>
      </c>
      <c r="Q13" s="143" t="e">
        <f>IF(AND(#REF!="Muy Alta",#REF!="Menor"),CONCATENATE("R8C",#REF!),"")</f>
        <v>#REF!</v>
      </c>
      <c r="R13" s="143" t="e">
        <f>IF(AND(#REF!="Muy Alta",#REF!="Menor"),CONCATENATE("R8C",#REF!),"")</f>
        <v>#REF!</v>
      </c>
      <c r="S13" s="143" t="e">
        <f>IF(AND(#REF!="Muy Alta",#REF!="Menor"),CONCATENATE("R8C",#REF!),"")</f>
        <v>#REF!</v>
      </c>
      <c r="T13" s="143" t="e">
        <f>IF(AND(#REF!="Muy Alta",#REF!="Menor"),CONCATENATE("R8C",#REF!),"")</f>
        <v>#REF!</v>
      </c>
      <c r="U13" s="144" t="e">
        <f>IF(AND(#REF!="Muy Alta",#REF!="Menor"),CONCATENATE("R8C",#REF!),"")</f>
        <v>#REF!</v>
      </c>
      <c r="V13" s="142" t="e">
        <f>IF(AND(#REF!="Muy Alta",#REF!="Moderado"),CONCATENATE("R8C",#REF!),"")</f>
        <v>#REF!</v>
      </c>
      <c r="W13" s="143" t="e">
        <f>IF(AND(#REF!="Muy Alta",#REF!="Moderado"),CONCATENATE("R8C",#REF!),"")</f>
        <v>#REF!</v>
      </c>
      <c r="X13" s="143" t="e">
        <f>IF(AND(#REF!="Muy Alta",#REF!="Moderado"),CONCATENATE("R8C",#REF!),"")</f>
        <v>#REF!</v>
      </c>
      <c r="Y13" s="143" t="e">
        <f>IF(AND(#REF!="Muy Alta",#REF!="Moderado"),CONCATENATE("R8C",#REF!),"")</f>
        <v>#REF!</v>
      </c>
      <c r="Z13" s="143" t="e">
        <f>IF(AND(#REF!="Muy Alta",#REF!="Moderado"),CONCATENATE("R8C",#REF!),"")</f>
        <v>#REF!</v>
      </c>
      <c r="AA13" s="144" t="e">
        <f>IF(AND(#REF!="Muy Alta",#REF!="Moderado"),CONCATENATE("R8C",#REF!),"")</f>
        <v>#REF!</v>
      </c>
      <c r="AB13" s="142" t="e">
        <f>IF(AND(#REF!="Muy Alta",#REF!="Mayor"),CONCATENATE("R8C",#REF!),"")</f>
        <v>#REF!</v>
      </c>
      <c r="AC13" s="143" t="e">
        <f>IF(AND(#REF!="Muy Alta",#REF!="Mayor"),CONCATENATE("R8C",#REF!),"")</f>
        <v>#REF!</v>
      </c>
      <c r="AD13" s="143" t="e">
        <f>IF(AND(#REF!="Muy Alta",#REF!="Mayor"),CONCATENATE("R8C",#REF!),"")</f>
        <v>#REF!</v>
      </c>
      <c r="AE13" s="143" t="e">
        <f>IF(AND(#REF!="Muy Alta",#REF!="Mayor"),CONCATENATE("R8C",#REF!),"")</f>
        <v>#REF!</v>
      </c>
      <c r="AF13" s="143" t="e">
        <f>IF(AND(#REF!="Muy Alta",#REF!="Mayor"),CONCATENATE("R8C",#REF!),"")</f>
        <v>#REF!</v>
      </c>
      <c r="AG13" s="144" t="e">
        <f>IF(AND(#REF!="Muy Alta",#REF!="Mayor"),CONCATENATE("R8C",#REF!),"")</f>
        <v>#REF!</v>
      </c>
      <c r="AH13" s="145" t="e">
        <f>IF(AND(#REF!="Muy Alta",#REF!="Catastrófico"),CONCATENATE("R8C",#REF!),"")</f>
        <v>#REF!</v>
      </c>
      <c r="AI13" s="146" t="e">
        <f>IF(AND(#REF!="Muy Alta",#REF!="Catastrófico"),CONCATENATE("R8C",#REF!),"")</f>
        <v>#REF!</v>
      </c>
      <c r="AJ13" s="146" t="e">
        <f>IF(AND(#REF!="Muy Alta",#REF!="Catastrófico"),CONCATENATE("R8C",#REF!),"")</f>
        <v>#REF!</v>
      </c>
      <c r="AK13" s="146" t="e">
        <f>IF(AND(#REF!="Muy Alta",#REF!="Catastrófico"),CONCATENATE("R8C",#REF!),"")</f>
        <v>#REF!</v>
      </c>
      <c r="AL13" s="146" t="e">
        <f>IF(AND(#REF!="Muy Alta",#REF!="Catastrófico"),CONCATENATE("R8C",#REF!),"")</f>
        <v>#REF!</v>
      </c>
      <c r="AM13" s="147" t="e">
        <f>IF(AND(#REF!="Muy Alta",#REF!="Catastrófico"),CONCATENATE("R8C",#REF!),"")</f>
        <v>#REF!</v>
      </c>
      <c r="AN13" s="115"/>
      <c r="AO13" s="684"/>
      <c r="AP13" s="670"/>
      <c r="AQ13" s="670"/>
      <c r="AR13" s="670"/>
      <c r="AS13" s="670"/>
      <c r="AT13" s="685"/>
      <c r="AU13" s="115"/>
      <c r="AV13" s="115"/>
      <c r="AW13" s="115"/>
      <c r="AX13" s="115"/>
      <c r="AY13" s="115"/>
      <c r="AZ13" s="115"/>
      <c r="BA13" s="115"/>
      <c r="BB13" s="115"/>
      <c r="BC13" s="115"/>
      <c r="BD13" s="115"/>
      <c r="BE13" s="115"/>
      <c r="BF13" s="115"/>
      <c r="BG13" s="115"/>
      <c r="BH13" s="115"/>
      <c r="BI13" s="115"/>
    </row>
    <row r="14" spans="1:61" ht="15" customHeight="1" x14ac:dyDescent="0.25">
      <c r="A14" s="115"/>
      <c r="B14" s="654"/>
      <c r="C14" s="670"/>
      <c r="D14" s="653"/>
      <c r="E14" s="659"/>
      <c r="F14" s="670"/>
      <c r="G14" s="670"/>
      <c r="H14" s="670"/>
      <c r="I14" s="653"/>
      <c r="J14" s="142" t="e">
        <f>IF(AND(#REF!="Muy Alta",#REF!="Leve"),CONCATENATE("R9C",#REF!),"")</f>
        <v>#REF!</v>
      </c>
      <c r="K14" s="143" t="e">
        <f>IF(AND(#REF!="Muy Alta",#REF!="Leve"),CONCATENATE("R9C",#REF!),"")</f>
        <v>#REF!</v>
      </c>
      <c r="L14" s="143" t="e">
        <f>IF(AND(#REF!="Muy Alta",#REF!="Leve"),CONCATENATE("R9C",#REF!),"")</f>
        <v>#REF!</v>
      </c>
      <c r="M14" s="143" t="e">
        <f>IF(AND(#REF!="Muy Alta",#REF!="Leve"),CONCATENATE("R9C",#REF!),"")</f>
        <v>#REF!</v>
      </c>
      <c r="N14" s="143" t="e">
        <f>IF(AND(#REF!="Muy Alta",#REF!="Leve"),CONCATENATE("R9C",#REF!),"")</f>
        <v>#REF!</v>
      </c>
      <c r="O14" s="144" t="e">
        <f>IF(AND(#REF!="Muy Alta",#REF!="Leve"),CONCATENATE("R9C",#REF!),"")</f>
        <v>#REF!</v>
      </c>
      <c r="P14" s="142" t="e">
        <f>IF(AND(#REF!="Muy Alta",#REF!="Menor"),CONCATENATE("R9C",#REF!),"")</f>
        <v>#REF!</v>
      </c>
      <c r="Q14" s="143" t="e">
        <f>IF(AND(#REF!="Muy Alta",#REF!="Menor"),CONCATENATE("R9C",#REF!),"")</f>
        <v>#REF!</v>
      </c>
      <c r="R14" s="143" t="e">
        <f>IF(AND(#REF!="Muy Alta",#REF!="Menor"),CONCATENATE("R9C",#REF!),"")</f>
        <v>#REF!</v>
      </c>
      <c r="S14" s="143" t="e">
        <f>IF(AND(#REF!="Muy Alta",#REF!="Menor"),CONCATENATE("R9C",#REF!),"")</f>
        <v>#REF!</v>
      </c>
      <c r="T14" s="143" t="e">
        <f>IF(AND(#REF!="Muy Alta",#REF!="Menor"),CONCATENATE("R9C",#REF!),"")</f>
        <v>#REF!</v>
      </c>
      <c r="U14" s="144" t="e">
        <f>IF(AND(#REF!="Muy Alta",#REF!="Menor"),CONCATENATE("R9C",#REF!),"")</f>
        <v>#REF!</v>
      </c>
      <c r="V14" s="142" t="e">
        <f>IF(AND(#REF!="Muy Alta",#REF!="Moderado"),CONCATENATE("R9C",#REF!),"")</f>
        <v>#REF!</v>
      </c>
      <c r="W14" s="143" t="e">
        <f>IF(AND(#REF!="Muy Alta",#REF!="Moderado"),CONCATENATE("R9C",#REF!),"")</f>
        <v>#REF!</v>
      </c>
      <c r="X14" s="143" t="e">
        <f>IF(AND(#REF!="Muy Alta",#REF!="Moderado"),CONCATENATE("R9C",#REF!),"")</f>
        <v>#REF!</v>
      </c>
      <c r="Y14" s="143" t="e">
        <f>IF(AND(#REF!="Muy Alta",#REF!="Moderado"),CONCATENATE("R9C",#REF!),"")</f>
        <v>#REF!</v>
      </c>
      <c r="Z14" s="143" t="e">
        <f>IF(AND(#REF!="Muy Alta",#REF!="Moderado"),CONCATENATE("R9C",#REF!),"")</f>
        <v>#REF!</v>
      </c>
      <c r="AA14" s="144" t="e">
        <f>IF(AND(#REF!="Muy Alta",#REF!="Moderado"),CONCATENATE("R9C",#REF!),"")</f>
        <v>#REF!</v>
      </c>
      <c r="AB14" s="142" t="e">
        <f>IF(AND(#REF!="Muy Alta",#REF!="Mayor"),CONCATENATE("R9C",#REF!),"")</f>
        <v>#REF!</v>
      </c>
      <c r="AC14" s="143" t="e">
        <f>IF(AND(#REF!="Muy Alta",#REF!="Mayor"),CONCATENATE("R9C",#REF!),"")</f>
        <v>#REF!</v>
      </c>
      <c r="AD14" s="143" t="e">
        <f>IF(AND(#REF!="Muy Alta",#REF!="Mayor"),CONCATENATE("R9C",#REF!),"")</f>
        <v>#REF!</v>
      </c>
      <c r="AE14" s="143" t="e">
        <f>IF(AND(#REF!="Muy Alta",#REF!="Mayor"),CONCATENATE("R9C",#REF!),"")</f>
        <v>#REF!</v>
      </c>
      <c r="AF14" s="143" t="e">
        <f>IF(AND(#REF!="Muy Alta",#REF!="Mayor"),CONCATENATE("R9C",#REF!),"")</f>
        <v>#REF!</v>
      </c>
      <c r="AG14" s="144" t="e">
        <f>IF(AND(#REF!="Muy Alta",#REF!="Mayor"),CONCATENATE("R9C",#REF!),"")</f>
        <v>#REF!</v>
      </c>
      <c r="AH14" s="145" t="e">
        <f>IF(AND(#REF!="Muy Alta",#REF!="Catastrófico"),CONCATENATE("R9C",#REF!),"")</f>
        <v>#REF!</v>
      </c>
      <c r="AI14" s="146" t="e">
        <f>IF(AND(#REF!="Muy Alta",#REF!="Catastrófico"),CONCATENATE("R9C",#REF!),"")</f>
        <v>#REF!</v>
      </c>
      <c r="AJ14" s="146" t="e">
        <f>IF(AND(#REF!="Muy Alta",#REF!="Catastrófico"),CONCATENATE("R9C",#REF!),"")</f>
        <v>#REF!</v>
      </c>
      <c r="AK14" s="146" t="e">
        <f>IF(AND(#REF!="Muy Alta",#REF!="Catastrófico"),CONCATENATE("R9C",#REF!),"")</f>
        <v>#REF!</v>
      </c>
      <c r="AL14" s="146" t="e">
        <f>IF(AND(#REF!="Muy Alta",#REF!="Catastrófico"),CONCATENATE("R9C",#REF!),"")</f>
        <v>#REF!</v>
      </c>
      <c r="AM14" s="147" t="e">
        <f>IF(AND(#REF!="Muy Alta",#REF!="Catastrófico"),CONCATENATE("R9C",#REF!),"")</f>
        <v>#REF!</v>
      </c>
      <c r="AN14" s="115"/>
      <c r="AO14" s="684"/>
      <c r="AP14" s="670"/>
      <c r="AQ14" s="670"/>
      <c r="AR14" s="670"/>
      <c r="AS14" s="670"/>
      <c r="AT14" s="685"/>
      <c r="AU14" s="115"/>
      <c r="AV14" s="115"/>
      <c r="AW14" s="115"/>
      <c r="AX14" s="115"/>
      <c r="AY14" s="115"/>
      <c r="AZ14" s="115"/>
      <c r="BA14" s="115"/>
      <c r="BB14" s="115"/>
      <c r="BC14" s="115"/>
      <c r="BD14" s="115"/>
      <c r="BE14" s="115"/>
      <c r="BF14" s="115"/>
      <c r="BG14" s="115"/>
      <c r="BH14" s="115"/>
      <c r="BI14" s="115"/>
    </row>
    <row r="15" spans="1:61" ht="15.75" customHeight="1" thickBot="1" x14ac:dyDescent="0.3">
      <c r="A15" s="115"/>
      <c r="B15" s="654"/>
      <c r="C15" s="670"/>
      <c r="D15" s="653"/>
      <c r="E15" s="671"/>
      <c r="F15" s="672"/>
      <c r="G15" s="672"/>
      <c r="H15" s="672"/>
      <c r="I15" s="673"/>
      <c r="J15" s="148" t="e">
        <f>IF(AND(#REF!="Muy Alta",#REF!="Leve"),CONCATENATE("R10C",#REF!),"")</f>
        <v>#REF!</v>
      </c>
      <c r="K15" s="149" t="e">
        <f>IF(AND(#REF!="Muy Alta",#REF!="Leve"),CONCATENATE("R10C",#REF!),"")</f>
        <v>#REF!</v>
      </c>
      <c r="L15" s="149" t="e">
        <f>IF(AND(#REF!="Muy Alta",#REF!="Leve"),CONCATENATE("R10C",#REF!),"")</f>
        <v>#REF!</v>
      </c>
      <c r="M15" s="149" t="e">
        <f>IF(AND(#REF!="Muy Alta",#REF!="Leve"),CONCATENATE("R10C",#REF!),"")</f>
        <v>#REF!</v>
      </c>
      <c r="N15" s="149" t="e">
        <f>IF(AND(#REF!="Muy Alta",#REF!="Leve"),CONCATENATE("R10C",#REF!),"")</f>
        <v>#REF!</v>
      </c>
      <c r="O15" s="150" t="e">
        <f>IF(AND(#REF!="Muy Alta",#REF!="Leve"),CONCATENATE("R10C",#REF!),"")</f>
        <v>#REF!</v>
      </c>
      <c r="P15" s="142" t="e">
        <f>IF(AND(#REF!="Muy Alta",#REF!="Menor"),CONCATENATE("R10C",#REF!),"")</f>
        <v>#REF!</v>
      </c>
      <c r="Q15" s="143" t="e">
        <f>IF(AND(#REF!="Muy Alta",#REF!="Menor"),CONCATENATE("R10C",#REF!),"")</f>
        <v>#REF!</v>
      </c>
      <c r="R15" s="143" t="e">
        <f>IF(AND(#REF!="Muy Alta",#REF!="Menor"),CONCATENATE("R10C",#REF!),"")</f>
        <v>#REF!</v>
      </c>
      <c r="S15" s="143" t="e">
        <f>IF(AND(#REF!="Muy Alta",#REF!="Menor"),CONCATENATE("R10C",#REF!),"")</f>
        <v>#REF!</v>
      </c>
      <c r="T15" s="143" t="e">
        <f>IF(AND(#REF!="Muy Alta",#REF!="Menor"),CONCATENATE("R10C",#REF!),"")</f>
        <v>#REF!</v>
      </c>
      <c r="U15" s="144" t="e">
        <f>IF(AND(#REF!="Muy Alta",#REF!="Menor"),CONCATENATE("R10C",#REF!),"")</f>
        <v>#REF!</v>
      </c>
      <c r="V15" s="148" t="e">
        <f>IF(AND(#REF!="Muy Alta",#REF!="Moderado"),CONCATENATE("R10C",#REF!),"")</f>
        <v>#REF!</v>
      </c>
      <c r="W15" s="149" t="e">
        <f>IF(AND(#REF!="Muy Alta",#REF!="Moderado"),CONCATENATE("R10C",#REF!),"")</f>
        <v>#REF!</v>
      </c>
      <c r="X15" s="149" t="e">
        <f>IF(AND(#REF!="Muy Alta",#REF!="Moderado"),CONCATENATE("R10C",#REF!),"")</f>
        <v>#REF!</v>
      </c>
      <c r="Y15" s="149" t="e">
        <f>IF(AND(#REF!="Muy Alta",#REF!="Moderado"),CONCATENATE("R10C",#REF!),"")</f>
        <v>#REF!</v>
      </c>
      <c r="Z15" s="149" t="e">
        <f>IF(AND(#REF!="Muy Alta",#REF!="Moderado"),CONCATENATE("R10C",#REF!),"")</f>
        <v>#REF!</v>
      </c>
      <c r="AA15" s="150" t="e">
        <f>IF(AND(#REF!="Muy Alta",#REF!="Moderado"),CONCATENATE("R10C",#REF!),"")</f>
        <v>#REF!</v>
      </c>
      <c r="AB15" s="142" t="e">
        <f>IF(AND(#REF!="Muy Alta",#REF!="Mayor"),CONCATENATE("R10C",#REF!),"")</f>
        <v>#REF!</v>
      </c>
      <c r="AC15" s="143" t="e">
        <f>IF(AND(#REF!="Muy Alta",#REF!="Mayor"),CONCATENATE("R10C",#REF!),"")</f>
        <v>#REF!</v>
      </c>
      <c r="AD15" s="143" t="e">
        <f>IF(AND(#REF!="Muy Alta",#REF!="Mayor"),CONCATENATE("R10C",#REF!),"")</f>
        <v>#REF!</v>
      </c>
      <c r="AE15" s="143" t="e">
        <f>IF(AND(#REF!="Muy Alta",#REF!="Mayor"),CONCATENATE("R10C",#REF!),"")</f>
        <v>#REF!</v>
      </c>
      <c r="AF15" s="143" t="e">
        <f>IF(AND(#REF!="Muy Alta",#REF!="Mayor"),CONCATENATE("R10C",#REF!),"")</f>
        <v>#REF!</v>
      </c>
      <c r="AG15" s="144" t="e">
        <f>IF(AND(#REF!="Muy Alta",#REF!="Mayor"),CONCATENATE("R10C",#REF!),"")</f>
        <v>#REF!</v>
      </c>
      <c r="AH15" s="151" t="e">
        <f>IF(AND(#REF!="Muy Alta",#REF!="Catastrófico"),CONCATENATE("R10C",#REF!),"")</f>
        <v>#REF!</v>
      </c>
      <c r="AI15" s="152" t="e">
        <f>IF(AND(#REF!="Muy Alta",#REF!="Catastrófico"),CONCATENATE("R10C",#REF!),"")</f>
        <v>#REF!</v>
      </c>
      <c r="AJ15" s="152" t="e">
        <f>IF(AND(#REF!="Muy Alta",#REF!="Catastrófico"),CONCATENATE("R10C",#REF!),"")</f>
        <v>#REF!</v>
      </c>
      <c r="AK15" s="152" t="e">
        <f>IF(AND(#REF!="Muy Alta",#REF!="Catastrófico"),CONCATENATE("R10C",#REF!),"")</f>
        <v>#REF!</v>
      </c>
      <c r="AL15" s="152" t="e">
        <f>IF(AND(#REF!="Muy Alta",#REF!="Catastrófico"),CONCATENATE("R10C",#REF!),"")</f>
        <v>#REF!</v>
      </c>
      <c r="AM15" s="153" t="e">
        <f>IF(AND(#REF!="Muy Alta",#REF!="Catastrófico"),CONCATENATE("R10C",#REF!),"")</f>
        <v>#REF!</v>
      </c>
      <c r="AN15" s="115"/>
      <c r="AO15" s="686"/>
      <c r="AP15" s="687"/>
      <c r="AQ15" s="687"/>
      <c r="AR15" s="687"/>
      <c r="AS15" s="687"/>
      <c r="AT15" s="688"/>
      <c r="AU15" s="115"/>
      <c r="AV15" s="115"/>
      <c r="AW15" s="115"/>
      <c r="AX15" s="115"/>
      <c r="AY15" s="115"/>
      <c r="AZ15" s="115"/>
      <c r="BA15" s="115"/>
      <c r="BB15" s="115"/>
      <c r="BC15" s="115"/>
      <c r="BD15" s="115"/>
      <c r="BE15" s="115"/>
      <c r="BF15" s="115"/>
      <c r="BG15" s="115"/>
      <c r="BH15" s="115"/>
      <c r="BI15" s="115"/>
    </row>
    <row r="16" spans="1:61" ht="15" customHeight="1" x14ac:dyDescent="0.25">
      <c r="A16" s="115"/>
      <c r="B16" s="654"/>
      <c r="C16" s="670"/>
      <c r="D16" s="653"/>
      <c r="E16" s="693" t="s">
        <v>5</v>
      </c>
      <c r="F16" s="656"/>
      <c r="G16" s="656"/>
      <c r="H16" s="656"/>
      <c r="I16" s="656"/>
      <c r="J16" s="25" t="e">
        <f>IF(AND(#REF!="Alta",#REF!="Leve"),CONCATENATE("R1C",#REF!),"")</f>
        <v>#REF!</v>
      </c>
      <c r="K16" s="26" t="e">
        <f>IF(AND(#REF!="Alta",#REF!="Leve"),CONCATENATE("R1C",#REF!),"")</f>
        <v>#REF!</v>
      </c>
      <c r="L16" s="26" t="e">
        <f>IF(AND(#REF!="Alta",#REF!="Leve"),CONCATENATE("R1C",#REF!),"")</f>
        <v>#REF!</v>
      </c>
      <c r="M16" s="26" t="e">
        <f>IF(AND(#REF!="Alta",#REF!="Leve"),CONCATENATE("R1C",#REF!),"")</f>
        <v>#REF!</v>
      </c>
      <c r="N16" s="26" t="e">
        <f>IF(AND(#REF!="Alta",#REF!="Leve"),CONCATENATE("R1C",#REF!),"")</f>
        <v>#REF!</v>
      </c>
      <c r="O16" s="27" t="e">
        <f>IF(AND(#REF!="Alta",#REF!="Leve"),CONCATENATE("R1C",#REF!),"")</f>
        <v>#REF!</v>
      </c>
      <c r="P16" s="25" t="e">
        <f>IF(AND(#REF!="Alta",#REF!="Menor"),CONCATENATE("R1C",#REF!),"")</f>
        <v>#REF!</v>
      </c>
      <c r="Q16" s="26" t="e">
        <f>IF(AND(#REF!="Alta",#REF!="Menor"),CONCATENATE("R1C",#REF!),"")</f>
        <v>#REF!</v>
      </c>
      <c r="R16" s="26" t="e">
        <f>IF(AND(#REF!="Alta",#REF!="Menor"),CONCATENATE("R1C",#REF!),"")</f>
        <v>#REF!</v>
      </c>
      <c r="S16" s="26" t="e">
        <f>IF(AND(#REF!="Alta",#REF!="Menor"),CONCATENATE("R1C",#REF!),"")</f>
        <v>#REF!</v>
      </c>
      <c r="T16" s="26" t="e">
        <f>IF(AND(#REF!="Alta",#REF!="Menor"),CONCATENATE("R1C",#REF!),"")</f>
        <v>#REF!</v>
      </c>
      <c r="U16" s="27" t="e">
        <f>IF(AND(#REF!="Alta",#REF!="Menor"),CONCATENATE("R1C",#REF!),"")</f>
        <v>#REF!</v>
      </c>
      <c r="V16" s="19" t="e">
        <f>IF(AND(#REF!="Alta",#REF!="Moderado"),CONCATENATE("R1C",#REF!),"")</f>
        <v>#REF!</v>
      </c>
      <c r="W16" s="20" t="e">
        <f>IF(AND(#REF!="Alta",#REF!="Moderado"),CONCATENATE("R1C",#REF!),"")</f>
        <v>#REF!</v>
      </c>
      <c r="X16" s="20" t="e">
        <f>IF(AND(#REF!="Alta",#REF!="Moderado"),CONCATENATE("R1C",#REF!),"")</f>
        <v>#REF!</v>
      </c>
      <c r="Y16" s="20" t="e">
        <f>IF(AND(#REF!="Alta",#REF!="Moderado"),CONCATENATE("R1C",#REF!),"")</f>
        <v>#REF!</v>
      </c>
      <c r="Z16" s="20" t="e">
        <f>IF(AND(#REF!="Alta",#REF!="Moderado"),CONCATENATE("R1C",#REF!),"")</f>
        <v>#REF!</v>
      </c>
      <c r="AA16" s="21" t="e">
        <f>IF(AND(#REF!="Alta",#REF!="Moderado"),CONCATENATE("R1C",#REF!),"")</f>
        <v>#REF!</v>
      </c>
      <c r="AB16" s="19" t="e">
        <f>IF(AND(#REF!="Alta",#REF!="Mayor"),CONCATENATE("R1C",#REF!),"")</f>
        <v>#REF!</v>
      </c>
      <c r="AC16" s="20" t="e">
        <f>IF(AND(#REF!="Alta",#REF!="Mayor"),CONCATENATE("R1C",#REF!),"")</f>
        <v>#REF!</v>
      </c>
      <c r="AD16" s="20" t="e">
        <f>IF(AND(#REF!="Alta",#REF!="Mayor"),CONCATENATE("R1C",#REF!),"")</f>
        <v>#REF!</v>
      </c>
      <c r="AE16" s="20" t="e">
        <f>IF(AND(#REF!="Alta",#REF!="Mayor"),CONCATENATE("R1C",#REF!),"")</f>
        <v>#REF!</v>
      </c>
      <c r="AF16" s="20" t="e">
        <f>IF(AND(#REF!="Alta",#REF!="Mayor"),CONCATENATE("R1C",#REF!),"")</f>
        <v>#REF!</v>
      </c>
      <c r="AG16" s="21" t="e">
        <f>IF(AND(#REF!="Alta",#REF!="Mayor"),CONCATENATE("R1C",#REF!),"")</f>
        <v>#REF!</v>
      </c>
      <c r="AH16" s="22" t="e">
        <f>IF(AND(#REF!="Alta",#REF!="Catastrófico"),CONCATENATE("R1C",#REF!),"")</f>
        <v>#REF!</v>
      </c>
      <c r="AI16" s="23" t="e">
        <f>IF(AND(#REF!="Alta",#REF!="Catastrófico"),CONCATENATE("R1C",#REF!),"")</f>
        <v>#REF!</v>
      </c>
      <c r="AJ16" s="23" t="e">
        <f>IF(AND(#REF!="Alta",#REF!="Catastrófico"),CONCATENATE("R1C",#REF!),"")</f>
        <v>#REF!</v>
      </c>
      <c r="AK16" s="23" t="e">
        <f>IF(AND(#REF!="Alta",#REF!="Catastrófico"),CONCATENATE("R1C",#REF!),"")</f>
        <v>#REF!</v>
      </c>
      <c r="AL16" s="23" t="e">
        <f>IF(AND(#REF!="Alta",#REF!="Catastrófico"),CONCATENATE("R1C",#REF!),"")</f>
        <v>#REF!</v>
      </c>
      <c r="AM16" s="24" t="e">
        <f>IF(AND(#REF!="Alta",#REF!="Catastrófico"),CONCATENATE("R1C",#REF!),"")</f>
        <v>#REF!</v>
      </c>
      <c r="AN16" s="115"/>
      <c r="AO16" s="694" t="s">
        <v>6</v>
      </c>
      <c r="AP16" s="682"/>
      <c r="AQ16" s="682"/>
      <c r="AR16" s="682"/>
      <c r="AS16" s="682"/>
      <c r="AT16" s="683"/>
      <c r="AU16" s="115"/>
      <c r="AV16" s="115"/>
      <c r="AW16" s="115"/>
      <c r="AX16" s="115"/>
      <c r="AY16" s="115"/>
      <c r="AZ16" s="115"/>
      <c r="BA16" s="115"/>
      <c r="BB16" s="115"/>
      <c r="BC16" s="115"/>
      <c r="BD16" s="115"/>
      <c r="BE16" s="115"/>
      <c r="BF16" s="115"/>
      <c r="BG16" s="115"/>
      <c r="BH16" s="115"/>
      <c r="BI16" s="115"/>
    </row>
    <row r="17" spans="1:61" ht="15" customHeight="1" x14ac:dyDescent="0.25">
      <c r="A17" s="115"/>
      <c r="B17" s="654"/>
      <c r="C17" s="670"/>
      <c r="D17" s="653"/>
      <c r="E17" s="659"/>
      <c r="F17" s="670"/>
      <c r="G17" s="670"/>
      <c r="H17" s="670"/>
      <c r="I17" s="670"/>
      <c r="J17" s="154" t="e">
        <f>IF(AND(#REF!="Alta",#REF!="Leve"),CONCATENATE("R2C",#REF!),"")</f>
        <v>#REF!</v>
      </c>
      <c r="K17" s="155" t="e">
        <f>IF(AND(#REF!="Alta",#REF!="Leve"),CONCATENATE("R2C",#REF!),"")</f>
        <v>#REF!</v>
      </c>
      <c r="L17" s="155" t="e">
        <f>IF(AND(#REF!="Alta",#REF!="Leve"),CONCATENATE("R2C",#REF!),"")</f>
        <v>#REF!</v>
      </c>
      <c r="M17" s="155" t="e">
        <f>IF(AND(#REF!="Alta",#REF!="Leve"),CONCATENATE("R2C",#REF!),"")</f>
        <v>#REF!</v>
      </c>
      <c r="N17" s="155" t="e">
        <f>IF(AND(#REF!="Alta",#REF!="Leve"),CONCATENATE("R2C",#REF!),"")</f>
        <v>#REF!</v>
      </c>
      <c r="O17" s="156" t="e">
        <f>IF(AND(#REF!="Alta",#REF!="Leve"),CONCATENATE("R2C",#REF!),"")</f>
        <v>#REF!</v>
      </c>
      <c r="P17" s="154" t="e">
        <f>IF(AND(#REF!="Alta",#REF!="Menor"),CONCATENATE("R2C",#REF!),"")</f>
        <v>#REF!</v>
      </c>
      <c r="Q17" s="155" t="e">
        <f>IF(AND(#REF!="Alta",#REF!="Menor"),CONCATENATE("R2C",#REF!),"")</f>
        <v>#REF!</v>
      </c>
      <c r="R17" s="155" t="e">
        <f>IF(AND(#REF!="Alta",#REF!="Menor"),CONCATENATE("R2C",#REF!),"")</f>
        <v>#REF!</v>
      </c>
      <c r="S17" s="155" t="e">
        <f>IF(AND(#REF!="Alta",#REF!="Menor"),CONCATENATE("R2C",#REF!),"")</f>
        <v>#REF!</v>
      </c>
      <c r="T17" s="155" t="e">
        <f>IF(AND(#REF!="Alta",#REF!="Menor"),CONCATENATE("R2C",#REF!),"")</f>
        <v>#REF!</v>
      </c>
      <c r="U17" s="156" t="e">
        <f>IF(AND(#REF!="Alta",#REF!="Menor"),CONCATENATE("R2C",#REF!),"")</f>
        <v>#REF!</v>
      </c>
      <c r="V17" s="142" t="e">
        <f>IF(AND(#REF!="Alta",#REF!="Moderado"),CONCATENATE("R2C",#REF!),"")</f>
        <v>#REF!</v>
      </c>
      <c r="W17" s="143" t="e">
        <f>IF(AND(#REF!="Alta",#REF!="Moderado"),CONCATENATE("R2C",#REF!),"")</f>
        <v>#REF!</v>
      </c>
      <c r="X17" s="143" t="e">
        <f>IF(AND(#REF!="Alta",#REF!="Moderado"),CONCATENATE("R2C",#REF!),"")</f>
        <v>#REF!</v>
      </c>
      <c r="Y17" s="143" t="e">
        <f>IF(AND(#REF!="Alta",#REF!="Moderado"),CONCATENATE("R2C",#REF!),"")</f>
        <v>#REF!</v>
      </c>
      <c r="Z17" s="143" t="e">
        <f>IF(AND(#REF!="Alta",#REF!="Moderado"),CONCATENATE("R2C",#REF!),"")</f>
        <v>#REF!</v>
      </c>
      <c r="AA17" s="144" t="e">
        <f>IF(AND(#REF!="Alta",#REF!="Moderado"),CONCATENATE("R2C",#REF!),"")</f>
        <v>#REF!</v>
      </c>
      <c r="AB17" s="142" t="e">
        <f>IF(AND(#REF!="Alta",#REF!="Mayor"),CONCATENATE("R2C",#REF!),"")</f>
        <v>#REF!</v>
      </c>
      <c r="AC17" s="143" t="e">
        <f>IF(AND(#REF!="Alta",#REF!="Mayor"),CONCATENATE("R2C",#REF!),"")</f>
        <v>#REF!</v>
      </c>
      <c r="AD17" s="143" t="e">
        <f>IF(AND(#REF!="Alta",#REF!="Mayor"),CONCATENATE("R2C",#REF!),"")</f>
        <v>#REF!</v>
      </c>
      <c r="AE17" s="143" t="e">
        <f>IF(AND(#REF!="Alta",#REF!="Mayor"),CONCATENATE("R2C",#REF!),"")</f>
        <v>#REF!</v>
      </c>
      <c r="AF17" s="143" t="e">
        <f>IF(AND(#REF!="Alta",#REF!="Mayor"),CONCATENATE("R2C",#REF!),"")</f>
        <v>#REF!</v>
      </c>
      <c r="AG17" s="144" t="e">
        <f>IF(AND(#REF!="Alta",#REF!="Mayor"),CONCATENATE("R2C",#REF!),"")</f>
        <v>#REF!</v>
      </c>
      <c r="AH17" s="145" t="e">
        <f>IF(AND(#REF!="Alta",#REF!="Catastrófico"),CONCATENATE("R2C",#REF!),"")</f>
        <v>#REF!</v>
      </c>
      <c r="AI17" s="146" t="e">
        <f>IF(AND(#REF!="Alta",#REF!="Catastrófico"),CONCATENATE("R2C",#REF!),"")</f>
        <v>#REF!</v>
      </c>
      <c r="AJ17" s="146" t="e">
        <f>IF(AND(#REF!="Alta",#REF!="Catastrófico"),CONCATENATE("R2C",#REF!),"")</f>
        <v>#REF!</v>
      </c>
      <c r="AK17" s="146" t="e">
        <f>IF(AND(#REF!="Alta",#REF!="Catastrófico"),CONCATENATE("R2C",#REF!),"")</f>
        <v>#REF!</v>
      </c>
      <c r="AL17" s="146" t="e">
        <f>IF(AND(#REF!="Alta",#REF!="Catastrófico"),CONCATENATE("R2C",#REF!),"")</f>
        <v>#REF!</v>
      </c>
      <c r="AM17" s="147" t="e">
        <f>IF(AND(#REF!="Alta",#REF!="Catastrófico"),CONCATENATE("R2C",#REF!),"")</f>
        <v>#REF!</v>
      </c>
      <c r="AN17" s="115"/>
      <c r="AO17" s="684"/>
      <c r="AP17" s="670"/>
      <c r="AQ17" s="670"/>
      <c r="AR17" s="670"/>
      <c r="AS17" s="670"/>
      <c r="AT17" s="685"/>
      <c r="AU17" s="115"/>
      <c r="AV17" s="115"/>
      <c r="AW17" s="115"/>
      <c r="AX17" s="115"/>
      <c r="AY17" s="115"/>
      <c r="AZ17" s="115"/>
      <c r="BA17" s="115"/>
      <c r="BB17" s="115"/>
      <c r="BC17" s="115"/>
      <c r="BD17" s="115"/>
      <c r="BE17" s="115"/>
      <c r="BF17" s="115"/>
      <c r="BG17" s="115"/>
      <c r="BH17" s="115"/>
      <c r="BI17" s="115"/>
    </row>
    <row r="18" spans="1:61" ht="15" customHeight="1" x14ac:dyDescent="0.25">
      <c r="A18" s="115"/>
      <c r="B18" s="654"/>
      <c r="C18" s="670"/>
      <c r="D18" s="653"/>
      <c r="E18" s="659"/>
      <c r="F18" s="670"/>
      <c r="G18" s="670"/>
      <c r="H18" s="670"/>
      <c r="I18" s="670"/>
      <c r="J18" s="154" t="e">
        <f>IF(AND(#REF!="Alta",#REF!="Leve"),CONCATENATE("R3C",#REF!),"")</f>
        <v>#REF!</v>
      </c>
      <c r="K18" s="155" t="e">
        <f>IF(AND(#REF!="Alta",#REF!="Leve"),CONCATENATE("R3C",#REF!),"")</f>
        <v>#REF!</v>
      </c>
      <c r="L18" s="155" t="e">
        <f>IF(AND(#REF!="Alta",#REF!="Leve"),CONCATENATE("R3C",#REF!),"")</f>
        <v>#REF!</v>
      </c>
      <c r="M18" s="155" t="e">
        <f>IF(AND(#REF!="Alta",#REF!="Leve"),CONCATENATE("R3C",#REF!),"")</f>
        <v>#REF!</v>
      </c>
      <c r="N18" s="155" t="e">
        <f>IF(AND(#REF!="Alta",#REF!="Leve"),CONCATENATE("R3C",#REF!),"")</f>
        <v>#REF!</v>
      </c>
      <c r="O18" s="156" t="e">
        <f>IF(AND(#REF!="Alta",#REF!="Leve"),CONCATENATE("R3C",#REF!),"")</f>
        <v>#REF!</v>
      </c>
      <c r="P18" s="154" t="e">
        <f>IF(AND(#REF!="Alta",#REF!="Menor"),CONCATENATE("R3C",#REF!),"")</f>
        <v>#REF!</v>
      </c>
      <c r="Q18" s="155" t="e">
        <f>IF(AND(#REF!="Alta",#REF!="Menor"),CONCATENATE("R3C",#REF!),"")</f>
        <v>#REF!</v>
      </c>
      <c r="R18" s="155" t="e">
        <f>IF(AND(#REF!="Alta",#REF!="Menor"),CONCATENATE("R3C",#REF!),"")</f>
        <v>#REF!</v>
      </c>
      <c r="S18" s="155" t="e">
        <f>IF(AND(#REF!="Alta",#REF!="Menor"),CONCATENATE("R3C",#REF!),"")</f>
        <v>#REF!</v>
      </c>
      <c r="T18" s="155" t="e">
        <f>IF(AND(#REF!="Alta",#REF!="Menor"),CONCATENATE("R3C",#REF!),"")</f>
        <v>#REF!</v>
      </c>
      <c r="U18" s="156" t="e">
        <f>IF(AND(#REF!="Alta",#REF!="Menor"),CONCATENATE("R3C",#REF!),"")</f>
        <v>#REF!</v>
      </c>
      <c r="V18" s="142" t="e">
        <f>IF(AND(#REF!="Alta",#REF!="Moderado"),CONCATENATE("R3C",#REF!),"")</f>
        <v>#REF!</v>
      </c>
      <c r="W18" s="143" t="e">
        <f>IF(AND(#REF!="Alta",#REF!="Moderado"),CONCATENATE("R3C",#REF!),"")</f>
        <v>#REF!</v>
      </c>
      <c r="X18" s="143" t="e">
        <f>IF(AND(#REF!="Alta",#REF!="Moderado"),CONCATENATE("R3C",#REF!),"")</f>
        <v>#REF!</v>
      </c>
      <c r="Y18" s="143" t="e">
        <f>IF(AND(#REF!="Alta",#REF!="Moderado"),CONCATENATE("R3C",#REF!),"")</f>
        <v>#REF!</v>
      </c>
      <c r="Z18" s="143" t="e">
        <f>IF(AND(#REF!="Alta",#REF!="Moderado"),CONCATENATE("R3C",#REF!),"")</f>
        <v>#REF!</v>
      </c>
      <c r="AA18" s="144" t="e">
        <f>IF(AND(#REF!="Alta",#REF!="Moderado"),CONCATENATE("R3C",#REF!),"")</f>
        <v>#REF!</v>
      </c>
      <c r="AB18" s="142" t="e">
        <f>IF(AND(#REF!="Alta",#REF!="Mayor"),CONCATENATE("R3C",#REF!),"")</f>
        <v>#REF!</v>
      </c>
      <c r="AC18" s="143" t="e">
        <f>IF(AND(#REF!="Alta",#REF!="Mayor"),CONCATENATE("R3C",#REF!),"")</f>
        <v>#REF!</v>
      </c>
      <c r="AD18" s="143" t="e">
        <f>IF(AND(#REF!="Alta",#REF!="Mayor"),CONCATENATE("R3C",#REF!),"")</f>
        <v>#REF!</v>
      </c>
      <c r="AE18" s="143" t="e">
        <f>IF(AND(#REF!="Alta",#REF!="Mayor"),CONCATENATE("R3C",#REF!),"")</f>
        <v>#REF!</v>
      </c>
      <c r="AF18" s="143" t="e">
        <f>IF(AND(#REF!="Alta",#REF!="Mayor"),CONCATENATE("R3C",#REF!),"")</f>
        <v>#REF!</v>
      </c>
      <c r="AG18" s="144" t="e">
        <f>IF(AND(#REF!="Alta",#REF!="Mayor"),CONCATENATE("R3C",#REF!),"")</f>
        <v>#REF!</v>
      </c>
      <c r="AH18" s="145" t="e">
        <f>IF(AND(#REF!="Alta",#REF!="Catastrófico"),CONCATENATE("R3C",#REF!),"")</f>
        <v>#REF!</v>
      </c>
      <c r="AI18" s="146" t="e">
        <f>IF(AND(#REF!="Alta",#REF!="Catastrófico"),CONCATENATE("R3C",#REF!),"")</f>
        <v>#REF!</v>
      </c>
      <c r="AJ18" s="146" t="e">
        <f>IF(AND(#REF!="Alta",#REF!="Catastrófico"),CONCATENATE("R3C",#REF!),"")</f>
        <v>#REF!</v>
      </c>
      <c r="AK18" s="146" t="e">
        <f>IF(AND(#REF!="Alta",#REF!="Catastrófico"),CONCATENATE("R3C",#REF!),"")</f>
        <v>#REF!</v>
      </c>
      <c r="AL18" s="146" t="e">
        <f>IF(AND(#REF!="Alta",#REF!="Catastrófico"),CONCATENATE("R3C",#REF!),"")</f>
        <v>#REF!</v>
      </c>
      <c r="AM18" s="147" t="e">
        <f>IF(AND(#REF!="Alta",#REF!="Catastrófico"),CONCATENATE("R3C",#REF!),"")</f>
        <v>#REF!</v>
      </c>
      <c r="AN18" s="115"/>
      <c r="AO18" s="684"/>
      <c r="AP18" s="670"/>
      <c r="AQ18" s="670"/>
      <c r="AR18" s="670"/>
      <c r="AS18" s="670"/>
      <c r="AT18" s="685"/>
      <c r="AU18" s="115"/>
      <c r="AV18" s="115"/>
      <c r="AW18" s="115"/>
      <c r="AX18" s="115"/>
      <c r="AY18" s="115"/>
      <c r="AZ18" s="115"/>
      <c r="BA18" s="115"/>
      <c r="BB18" s="115"/>
      <c r="BC18" s="115"/>
      <c r="BD18" s="115"/>
      <c r="BE18" s="115"/>
      <c r="BF18" s="115"/>
      <c r="BG18" s="115"/>
      <c r="BH18" s="115"/>
      <c r="BI18" s="115"/>
    </row>
    <row r="19" spans="1:61" ht="15" customHeight="1" x14ac:dyDescent="0.25">
      <c r="A19" s="115"/>
      <c r="B19" s="654"/>
      <c r="C19" s="670"/>
      <c r="D19" s="653"/>
      <c r="E19" s="659"/>
      <c r="F19" s="670"/>
      <c r="G19" s="670"/>
      <c r="H19" s="670"/>
      <c r="I19" s="670"/>
      <c r="J19" s="154" t="e">
        <f>IF(AND(#REF!="Alta",#REF!="Leve"),CONCATENATE("R4C",#REF!),"")</f>
        <v>#REF!</v>
      </c>
      <c r="K19" s="155" t="e">
        <f>IF(AND(#REF!="Alta",#REF!="Leve"),CONCATENATE("R4C",#REF!),"")</f>
        <v>#REF!</v>
      </c>
      <c r="L19" s="155" t="e">
        <f>IF(AND(#REF!="Alta",#REF!="Leve"),CONCATENATE("R4C",#REF!),"")</f>
        <v>#REF!</v>
      </c>
      <c r="M19" s="155" t="e">
        <f>IF(AND(#REF!="Alta",#REF!="Leve"),CONCATENATE("R4C",#REF!),"")</f>
        <v>#REF!</v>
      </c>
      <c r="N19" s="155" t="e">
        <f>IF(AND(#REF!="Alta",#REF!="Leve"),CONCATENATE("R4C",#REF!),"")</f>
        <v>#REF!</v>
      </c>
      <c r="O19" s="156" t="e">
        <f>IF(AND(#REF!="Alta",#REF!="Leve"),CONCATENATE("R4C",#REF!),"")</f>
        <v>#REF!</v>
      </c>
      <c r="P19" s="154" t="e">
        <f>IF(AND(#REF!="Alta",#REF!="Menor"),CONCATENATE("R4C",#REF!),"")</f>
        <v>#REF!</v>
      </c>
      <c r="Q19" s="155" t="e">
        <f>IF(AND(#REF!="Alta",#REF!="Menor"),CONCATENATE("R4C",#REF!),"")</f>
        <v>#REF!</v>
      </c>
      <c r="R19" s="155" t="e">
        <f>IF(AND(#REF!="Alta",#REF!="Menor"),CONCATENATE("R4C",#REF!),"")</f>
        <v>#REF!</v>
      </c>
      <c r="S19" s="155" t="e">
        <f>IF(AND(#REF!="Alta",#REF!="Menor"),CONCATENATE("R4C",#REF!),"")</f>
        <v>#REF!</v>
      </c>
      <c r="T19" s="155" t="e">
        <f>IF(AND(#REF!="Alta",#REF!="Menor"),CONCATENATE("R4C",#REF!),"")</f>
        <v>#REF!</v>
      </c>
      <c r="U19" s="156" t="e">
        <f>IF(AND(#REF!="Alta",#REF!="Menor"),CONCATENATE("R4C",#REF!),"")</f>
        <v>#REF!</v>
      </c>
      <c r="V19" s="142" t="e">
        <f>IF(AND(#REF!="Alta",#REF!="Moderado"),CONCATENATE("R4C",#REF!),"")</f>
        <v>#REF!</v>
      </c>
      <c r="W19" s="143" t="e">
        <f>IF(AND(#REF!="Alta",#REF!="Moderado"),CONCATENATE("R4C",#REF!),"")</f>
        <v>#REF!</v>
      </c>
      <c r="X19" s="143" t="e">
        <f>IF(AND(#REF!="Alta",#REF!="Moderado"),CONCATENATE("R4C",#REF!),"")</f>
        <v>#REF!</v>
      </c>
      <c r="Y19" s="143" t="e">
        <f>IF(AND(#REF!="Alta",#REF!="Moderado"),CONCATENATE("R4C",#REF!),"")</f>
        <v>#REF!</v>
      </c>
      <c r="Z19" s="143" t="e">
        <f>IF(AND(#REF!="Alta",#REF!="Moderado"),CONCATENATE("R4C",#REF!),"")</f>
        <v>#REF!</v>
      </c>
      <c r="AA19" s="144" t="e">
        <f>IF(AND(#REF!="Alta",#REF!="Moderado"),CONCATENATE("R4C",#REF!),"")</f>
        <v>#REF!</v>
      </c>
      <c r="AB19" s="142" t="e">
        <f>IF(AND(#REF!="Alta",#REF!="Mayor"),CONCATENATE("R4C",#REF!),"")</f>
        <v>#REF!</v>
      </c>
      <c r="AC19" s="143" t="e">
        <f>IF(AND(#REF!="Alta",#REF!="Mayor"),CONCATENATE("R4C",#REF!),"")</f>
        <v>#REF!</v>
      </c>
      <c r="AD19" s="143" t="e">
        <f>IF(AND(#REF!="Alta",#REF!="Mayor"),CONCATENATE("R4C",#REF!),"")</f>
        <v>#REF!</v>
      </c>
      <c r="AE19" s="143" t="e">
        <f>IF(AND(#REF!="Alta",#REF!="Mayor"),CONCATENATE("R4C",#REF!),"")</f>
        <v>#REF!</v>
      </c>
      <c r="AF19" s="143" t="e">
        <f>IF(AND(#REF!="Alta",#REF!="Mayor"),CONCATENATE("R4C",#REF!),"")</f>
        <v>#REF!</v>
      </c>
      <c r="AG19" s="144" t="e">
        <f>IF(AND(#REF!="Alta",#REF!="Mayor"),CONCATENATE("R4C",#REF!),"")</f>
        <v>#REF!</v>
      </c>
      <c r="AH19" s="145" t="e">
        <f>IF(AND(#REF!="Alta",#REF!="Catastrófico"),CONCATENATE("R4C",#REF!),"")</f>
        <v>#REF!</v>
      </c>
      <c r="AI19" s="146" t="e">
        <f>IF(AND(#REF!="Alta",#REF!="Catastrófico"),CONCATENATE("R4C",#REF!),"")</f>
        <v>#REF!</v>
      </c>
      <c r="AJ19" s="146" t="e">
        <f>IF(AND(#REF!="Alta",#REF!="Catastrófico"),CONCATENATE("R4C",#REF!),"")</f>
        <v>#REF!</v>
      </c>
      <c r="AK19" s="146" t="e">
        <f>IF(AND(#REF!="Alta",#REF!="Catastrófico"),CONCATENATE("R4C",#REF!),"")</f>
        <v>#REF!</v>
      </c>
      <c r="AL19" s="146" t="e">
        <f>IF(AND(#REF!="Alta",#REF!="Catastrófico"),CONCATENATE("R4C",#REF!),"")</f>
        <v>#REF!</v>
      </c>
      <c r="AM19" s="147" t="e">
        <f>IF(AND(#REF!="Alta",#REF!="Catastrófico"),CONCATENATE("R4C",#REF!),"")</f>
        <v>#REF!</v>
      </c>
      <c r="AN19" s="115"/>
      <c r="AO19" s="684"/>
      <c r="AP19" s="670"/>
      <c r="AQ19" s="670"/>
      <c r="AR19" s="670"/>
      <c r="AS19" s="670"/>
      <c r="AT19" s="685"/>
      <c r="AU19" s="115"/>
      <c r="AV19" s="115"/>
      <c r="AW19" s="115"/>
      <c r="AX19" s="115"/>
      <c r="AY19" s="115"/>
      <c r="AZ19" s="115"/>
      <c r="BA19" s="115"/>
      <c r="BB19" s="115"/>
      <c r="BC19" s="115"/>
      <c r="BD19" s="115"/>
      <c r="BE19" s="115"/>
      <c r="BF19" s="115"/>
      <c r="BG19" s="115"/>
      <c r="BH19" s="115"/>
      <c r="BI19" s="115"/>
    </row>
    <row r="20" spans="1:61" ht="15" customHeight="1" x14ac:dyDescent="0.25">
      <c r="A20" s="115"/>
      <c r="B20" s="654"/>
      <c r="C20" s="670"/>
      <c r="D20" s="653"/>
      <c r="E20" s="659"/>
      <c r="F20" s="670"/>
      <c r="G20" s="670"/>
      <c r="H20" s="670"/>
      <c r="I20" s="670"/>
      <c r="J20" s="154" t="e">
        <f>IF(AND(#REF!="Alta",#REF!="Leve"),CONCATENATE("R5C",#REF!),"")</f>
        <v>#REF!</v>
      </c>
      <c r="K20" s="155" t="e">
        <f>IF(AND(#REF!="Alta",#REF!="Leve"),CONCATENATE("R5C",#REF!),"")</f>
        <v>#REF!</v>
      </c>
      <c r="L20" s="155" t="e">
        <f>IF(AND(#REF!="Alta",#REF!="Leve"),CONCATENATE("R5C",#REF!),"")</f>
        <v>#REF!</v>
      </c>
      <c r="M20" s="155" t="e">
        <f>IF(AND(#REF!="Alta",#REF!="Leve"),CONCATENATE("R5C",#REF!),"")</f>
        <v>#REF!</v>
      </c>
      <c r="N20" s="155" t="e">
        <f>IF(AND(#REF!="Alta",#REF!="Leve"),CONCATENATE("R5C",#REF!),"")</f>
        <v>#REF!</v>
      </c>
      <c r="O20" s="156" t="e">
        <f>IF(AND(#REF!="Alta",#REF!="Leve"),CONCATENATE("R5C",#REF!),"")</f>
        <v>#REF!</v>
      </c>
      <c r="P20" s="154" t="e">
        <f>IF(AND(#REF!="Alta",#REF!="Menor"),CONCATENATE("R5C",#REF!),"")</f>
        <v>#REF!</v>
      </c>
      <c r="Q20" s="155" t="e">
        <f>IF(AND(#REF!="Alta",#REF!="Menor"),CONCATENATE("R5C",#REF!),"")</f>
        <v>#REF!</v>
      </c>
      <c r="R20" s="155" t="e">
        <f>IF(AND(#REF!="Alta",#REF!="Menor"),CONCATENATE("R5C",#REF!),"")</f>
        <v>#REF!</v>
      </c>
      <c r="S20" s="155" t="e">
        <f>IF(AND(#REF!="Alta",#REF!="Menor"),CONCATENATE("R5C",#REF!),"")</f>
        <v>#REF!</v>
      </c>
      <c r="T20" s="155" t="e">
        <f>IF(AND(#REF!="Alta",#REF!="Menor"),CONCATENATE("R5C",#REF!),"")</f>
        <v>#REF!</v>
      </c>
      <c r="U20" s="156" t="e">
        <f>IF(AND(#REF!="Alta",#REF!="Menor"),CONCATENATE("R5C",#REF!),"")</f>
        <v>#REF!</v>
      </c>
      <c r="V20" s="142" t="e">
        <f>IF(AND(#REF!="Alta",#REF!="Moderado"),CONCATENATE("R5C",#REF!),"")</f>
        <v>#REF!</v>
      </c>
      <c r="W20" s="143" t="e">
        <f>IF(AND(#REF!="Alta",#REF!="Moderado"),CONCATENATE("R5C",#REF!),"")</f>
        <v>#REF!</v>
      </c>
      <c r="X20" s="143" t="e">
        <f>IF(AND(#REF!="Alta",#REF!="Moderado"),CONCATENATE("R5C",#REF!),"")</f>
        <v>#REF!</v>
      </c>
      <c r="Y20" s="143" t="e">
        <f>IF(AND(#REF!="Alta",#REF!="Moderado"),CONCATENATE("R5C",#REF!),"")</f>
        <v>#REF!</v>
      </c>
      <c r="Z20" s="143" t="e">
        <f>IF(AND(#REF!="Alta",#REF!="Moderado"),CONCATENATE("R5C",#REF!),"")</f>
        <v>#REF!</v>
      </c>
      <c r="AA20" s="144" t="e">
        <f>IF(AND(#REF!="Alta",#REF!="Moderado"),CONCATENATE("R5C",#REF!),"")</f>
        <v>#REF!</v>
      </c>
      <c r="AB20" s="142" t="e">
        <f>IF(AND(#REF!="Alta",#REF!="Mayor"),CONCATENATE("R5C",#REF!),"")</f>
        <v>#REF!</v>
      </c>
      <c r="AC20" s="143" t="e">
        <f>IF(AND(#REF!="Alta",#REF!="Mayor"),CONCATENATE("R5C",#REF!),"")</f>
        <v>#REF!</v>
      </c>
      <c r="AD20" s="143" t="e">
        <f>IF(AND(#REF!="Alta",#REF!="Mayor"),CONCATENATE("R5C",#REF!),"")</f>
        <v>#REF!</v>
      </c>
      <c r="AE20" s="143" t="e">
        <f>IF(AND(#REF!="Alta",#REF!="Mayor"),CONCATENATE("R5C",#REF!),"")</f>
        <v>#REF!</v>
      </c>
      <c r="AF20" s="143" t="e">
        <f>IF(AND(#REF!="Alta",#REF!="Mayor"),CONCATENATE("R5C",#REF!),"")</f>
        <v>#REF!</v>
      </c>
      <c r="AG20" s="144" t="e">
        <f>IF(AND(#REF!="Alta",#REF!="Mayor"),CONCATENATE("R5C",#REF!),"")</f>
        <v>#REF!</v>
      </c>
      <c r="AH20" s="145" t="e">
        <f>IF(AND(#REF!="Alta",#REF!="Catastrófico"),CONCATENATE("R5C",#REF!),"")</f>
        <v>#REF!</v>
      </c>
      <c r="AI20" s="146" t="e">
        <f>IF(AND(#REF!="Alta",#REF!="Catastrófico"),CONCATENATE("R5C",#REF!),"")</f>
        <v>#REF!</v>
      </c>
      <c r="AJ20" s="146" t="e">
        <f>IF(AND(#REF!="Alta",#REF!="Catastrófico"),CONCATENATE("R5C",#REF!),"")</f>
        <v>#REF!</v>
      </c>
      <c r="AK20" s="146" t="e">
        <f>IF(AND(#REF!="Alta",#REF!="Catastrófico"),CONCATENATE("R5C",#REF!),"")</f>
        <v>#REF!</v>
      </c>
      <c r="AL20" s="146" t="e">
        <f>IF(AND(#REF!="Alta",#REF!="Catastrófico"),CONCATENATE("R5C",#REF!),"")</f>
        <v>#REF!</v>
      </c>
      <c r="AM20" s="147" t="e">
        <f>IF(AND(#REF!="Alta",#REF!="Catastrófico"),CONCATENATE("R5C",#REF!),"")</f>
        <v>#REF!</v>
      </c>
      <c r="AN20" s="115"/>
      <c r="AO20" s="684"/>
      <c r="AP20" s="670"/>
      <c r="AQ20" s="670"/>
      <c r="AR20" s="670"/>
      <c r="AS20" s="670"/>
      <c r="AT20" s="685"/>
      <c r="AU20" s="115"/>
      <c r="AV20" s="115"/>
      <c r="AW20" s="115"/>
      <c r="AX20" s="115"/>
      <c r="AY20" s="115"/>
      <c r="AZ20" s="115"/>
      <c r="BA20" s="115"/>
      <c r="BB20" s="115"/>
      <c r="BC20" s="115"/>
      <c r="BD20" s="115"/>
      <c r="BE20" s="115"/>
      <c r="BF20" s="115"/>
      <c r="BG20" s="115"/>
      <c r="BH20" s="115"/>
      <c r="BI20" s="115"/>
    </row>
    <row r="21" spans="1:61" ht="15" customHeight="1" x14ac:dyDescent="0.25">
      <c r="A21" s="115"/>
      <c r="B21" s="654"/>
      <c r="C21" s="670"/>
      <c r="D21" s="653"/>
      <c r="E21" s="659"/>
      <c r="F21" s="670"/>
      <c r="G21" s="670"/>
      <c r="H21" s="670"/>
      <c r="I21" s="670"/>
      <c r="J21" s="154" t="e">
        <f>IF(AND(#REF!="Alta",#REF!="Leve"),CONCATENATE("R6C",#REF!),"")</f>
        <v>#REF!</v>
      </c>
      <c r="K21" s="155" t="e">
        <f>IF(AND(#REF!="Alta",#REF!="Leve"),CONCATENATE("R6C",#REF!),"")</f>
        <v>#REF!</v>
      </c>
      <c r="L21" s="155" t="e">
        <f>IF(AND(#REF!="Alta",#REF!="Leve"),CONCATENATE("R6C",#REF!),"")</f>
        <v>#REF!</v>
      </c>
      <c r="M21" s="155" t="e">
        <f>IF(AND(#REF!="Alta",#REF!="Leve"),CONCATENATE("R6C",#REF!),"")</f>
        <v>#REF!</v>
      </c>
      <c r="N21" s="155" t="e">
        <f>IF(AND(#REF!="Alta",#REF!="Leve"),CONCATENATE("R6C",#REF!),"")</f>
        <v>#REF!</v>
      </c>
      <c r="O21" s="156" t="e">
        <f>IF(AND(#REF!="Alta",#REF!="Leve"),CONCATENATE("R6C",#REF!),"")</f>
        <v>#REF!</v>
      </c>
      <c r="P21" s="154" t="e">
        <f>IF(AND(#REF!="Alta",#REF!="Menor"),CONCATENATE("R6C",#REF!),"")</f>
        <v>#REF!</v>
      </c>
      <c r="Q21" s="155" t="e">
        <f>IF(AND(#REF!="Alta",#REF!="Menor"),CONCATENATE("R6C",#REF!),"")</f>
        <v>#REF!</v>
      </c>
      <c r="R21" s="155" t="e">
        <f>IF(AND(#REF!="Alta",#REF!="Menor"),CONCATENATE("R6C",#REF!),"")</f>
        <v>#REF!</v>
      </c>
      <c r="S21" s="155" t="e">
        <f>IF(AND(#REF!="Alta",#REF!="Menor"),CONCATENATE("R6C",#REF!),"")</f>
        <v>#REF!</v>
      </c>
      <c r="T21" s="155" t="e">
        <f>IF(AND(#REF!="Alta",#REF!="Menor"),CONCATENATE("R6C",#REF!),"")</f>
        <v>#REF!</v>
      </c>
      <c r="U21" s="156" t="e">
        <f>IF(AND(#REF!="Alta",#REF!="Menor"),CONCATENATE("R6C",#REF!),"")</f>
        <v>#REF!</v>
      </c>
      <c r="V21" s="142" t="e">
        <f>IF(AND(#REF!="Alta",#REF!="Moderado"),CONCATENATE("R6C",#REF!),"")</f>
        <v>#REF!</v>
      </c>
      <c r="W21" s="143" t="e">
        <f>IF(AND(#REF!="Alta",#REF!="Moderado"),CONCATENATE("R6C",#REF!),"")</f>
        <v>#REF!</v>
      </c>
      <c r="X21" s="143" t="e">
        <f>IF(AND(#REF!="Alta",#REF!="Moderado"),CONCATENATE("R6C",#REF!),"")</f>
        <v>#REF!</v>
      </c>
      <c r="Y21" s="143" t="e">
        <f>IF(AND(#REF!="Alta",#REF!="Moderado"),CONCATENATE("R6C",#REF!),"")</f>
        <v>#REF!</v>
      </c>
      <c r="Z21" s="143" t="e">
        <f>IF(AND(#REF!="Alta",#REF!="Moderado"),CONCATENATE("R6C",#REF!),"")</f>
        <v>#REF!</v>
      </c>
      <c r="AA21" s="144" t="e">
        <f>IF(AND(#REF!="Alta",#REF!="Moderado"),CONCATENATE("R6C",#REF!),"")</f>
        <v>#REF!</v>
      </c>
      <c r="AB21" s="142" t="e">
        <f>IF(AND(#REF!="Alta",#REF!="Mayor"),CONCATENATE("R6C",#REF!),"")</f>
        <v>#REF!</v>
      </c>
      <c r="AC21" s="143" t="e">
        <f>IF(AND(#REF!="Alta",#REF!="Mayor"),CONCATENATE("R6C",#REF!),"")</f>
        <v>#REF!</v>
      </c>
      <c r="AD21" s="143" t="e">
        <f>IF(AND(#REF!="Alta",#REF!="Mayor"),CONCATENATE("R6C",#REF!),"")</f>
        <v>#REF!</v>
      </c>
      <c r="AE21" s="143" t="e">
        <f>IF(AND(#REF!="Alta",#REF!="Mayor"),CONCATENATE("R6C",#REF!),"")</f>
        <v>#REF!</v>
      </c>
      <c r="AF21" s="143" t="e">
        <f>IF(AND(#REF!="Alta",#REF!="Mayor"),CONCATENATE("R6C",#REF!),"")</f>
        <v>#REF!</v>
      </c>
      <c r="AG21" s="144" t="e">
        <f>IF(AND(#REF!="Alta",#REF!="Mayor"),CONCATENATE("R6C",#REF!),"")</f>
        <v>#REF!</v>
      </c>
      <c r="AH21" s="145" t="e">
        <f>IF(AND(#REF!="Alta",#REF!="Catastrófico"),CONCATENATE("R6C",#REF!),"")</f>
        <v>#REF!</v>
      </c>
      <c r="AI21" s="146" t="e">
        <f>IF(AND(#REF!="Alta",#REF!="Catastrófico"),CONCATENATE("R6C",#REF!),"")</f>
        <v>#REF!</v>
      </c>
      <c r="AJ21" s="146" t="e">
        <f>IF(AND(#REF!="Alta",#REF!="Catastrófico"),CONCATENATE("R6C",#REF!),"")</f>
        <v>#REF!</v>
      </c>
      <c r="AK21" s="146" t="e">
        <f>IF(AND(#REF!="Alta",#REF!="Catastrófico"),CONCATENATE("R6C",#REF!),"")</f>
        <v>#REF!</v>
      </c>
      <c r="AL21" s="146" t="e">
        <f>IF(AND(#REF!="Alta",#REF!="Catastrófico"),CONCATENATE("R6C",#REF!),"")</f>
        <v>#REF!</v>
      </c>
      <c r="AM21" s="147" t="e">
        <f>IF(AND(#REF!="Alta",#REF!="Catastrófico"),CONCATENATE("R6C",#REF!),"")</f>
        <v>#REF!</v>
      </c>
      <c r="AN21" s="115"/>
      <c r="AO21" s="684"/>
      <c r="AP21" s="670"/>
      <c r="AQ21" s="670"/>
      <c r="AR21" s="670"/>
      <c r="AS21" s="670"/>
      <c r="AT21" s="685"/>
      <c r="AU21" s="115"/>
      <c r="AV21" s="115"/>
      <c r="AW21" s="115"/>
      <c r="AX21" s="115"/>
      <c r="AY21" s="115"/>
      <c r="AZ21" s="115"/>
      <c r="BA21" s="115"/>
      <c r="BB21" s="115"/>
      <c r="BC21" s="115"/>
      <c r="BD21" s="115"/>
      <c r="BE21" s="115"/>
      <c r="BF21" s="115"/>
      <c r="BG21" s="115"/>
      <c r="BH21" s="115"/>
      <c r="BI21" s="115"/>
    </row>
    <row r="22" spans="1:61" ht="15" customHeight="1" x14ac:dyDescent="0.25">
      <c r="A22" s="115"/>
      <c r="B22" s="654"/>
      <c r="C22" s="670"/>
      <c r="D22" s="653"/>
      <c r="E22" s="659"/>
      <c r="F22" s="670"/>
      <c r="G22" s="670"/>
      <c r="H22" s="670"/>
      <c r="I22" s="670"/>
      <c r="J22" s="154" t="e">
        <f>IF(AND(#REF!="Alta",#REF!="Leve"),CONCATENATE("R7C",#REF!),"")</f>
        <v>#REF!</v>
      </c>
      <c r="K22" s="155" t="e">
        <f>IF(AND(#REF!="Alta",#REF!="Leve"),CONCATENATE("R7C",#REF!),"")</f>
        <v>#REF!</v>
      </c>
      <c r="L22" s="155" t="e">
        <f>IF(AND(#REF!="Alta",#REF!="Leve"),CONCATENATE("R7C",#REF!),"")</f>
        <v>#REF!</v>
      </c>
      <c r="M22" s="155" t="e">
        <f>IF(AND(#REF!="Alta",#REF!="Leve"),CONCATENATE("R7C",#REF!),"")</f>
        <v>#REF!</v>
      </c>
      <c r="N22" s="155" t="e">
        <f>IF(AND(#REF!="Alta",#REF!="Leve"),CONCATENATE("R7C",#REF!),"")</f>
        <v>#REF!</v>
      </c>
      <c r="O22" s="156" t="e">
        <f>IF(AND(#REF!="Alta",#REF!="Leve"),CONCATENATE("R7C",#REF!),"")</f>
        <v>#REF!</v>
      </c>
      <c r="P22" s="154" t="e">
        <f>IF(AND(#REF!="Alta",#REF!="Menor"),CONCATENATE("R7C",#REF!),"")</f>
        <v>#REF!</v>
      </c>
      <c r="Q22" s="155" t="e">
        <f>IF(AND(#REF!="Alta",#REF!="Menor"),CONCATENATE("R7C",#REF!),"")</f>
        <v>#REF!</v>
      </c>
      <c r="R22" s="155" t="e">
        <f>IF(AND(#REF!="Alta",#REF!="Menor"),CONCATENATE("R7C",#REF!),"")</f>
        <v>#REF!</v>
      </c>
      <c r="S22" s="155" t="e">
        <f>IF(AND(#REF!="Alta",#REF!="Menor"),CONCATENATE("R7C",#REF!),"")</f>
        <v>#REF!</v>
      </c>
      <c r="T22" s="155" t="e">
        <f>IF(AND(#REF!="Alta",#REF!="Menor"),CONCATENATE("R7C",#REF!),"")</f>
        <v>#REF!</v>
      </c>
      <c r="U22" s="156" t="e">
        <f>IF(AND(#REF!="Alta",#REF!="Menor"),CONCATENATE("R7C",#REF!),"")</f>
        <v>#REF!</v>
      </c>
      <c r="V22" s="142" t="e">
        <f>IF(AND(#REF!="Alta",#REF!="Moderado"),CONCATENATE("R7C",#REF!),"")</f>
        <v>#REF!</v>
      </c>
      <c r="W22" s="143" t="e">
        <f>IF(AND(#REF!="Alta",#REF!="Moderado"),CONCATENATE("R7C",#REF!),"")</f>
        <v>#REF!</v>
      </c>
      <c r="X22" s="143" t="e">
        <f>IF(AND(#REF!="Alta",#REF!="Moderado"),CONCATENATE("R7C",#REF!),"")</f>
        <v>#REF!</v>
      </c>
      <c r="Y22" s="143" t="e">
        <f>IF(AND(#REF!="Alta",#REF!="Moderado"),CONCATENATE("R7C",#REF!),"")</f>
        <v>#REF!</v>
      </c>
      <c r="Z22" s="143" t="e">
        <f>IF(AND(#REF!="Alta",#REF!="Moderado"),CONCATENATE("R7C",#REF!),"")</f>
        <v>#REF!</v>
      </c>
      <c r="AA22" s="144" t="e">
        <f>IF(AND(#REF!="Alta",#REF!="Moderado"),CONCATENATE("R7C",#REF!),"")</f>
        <v>#REF!</v>
      </c>
      <c r="AB22" s="142" t="e">
        <f>IF(AND(#REF!="Alta",#REF!="Mayor"),CONCATENATE("R7C",#REF!),"")</f>
        <v>#REF!</v>
      </c>
      <c r="AC22" s="143" t="e">
        <f>IF(AND(#REF!="Alta",#REF!="Mayor"),CONCATENATE("R7C",#REF!),"")</f>
        <v>#REF!</v>
      </c>
      <c r="AD22" s="143" t="e">
        <f>IF(AND(#REF!="Alta",#REF!="Mayor"),CONCATENATE("R7C",#REF!),"")</f>
        <v>#REF!</v>
      </c>
      <c r="AE22" s="143" t="e">
        <f>IF(AND(#REF!="Alta",#REF!="Mayor"),CONCATENATE("R7C",#REF!),"")</f>
        <v>#REF!</v>
      </c>
      <c r="AF22" s="143" t="e">
        <f>IF(AND(#REF!="Alta",#REF!="Mayor"),CONCATENATE("R7C",#REF!),"")</f>
        <v>#REF!</v>
      </c>
      <c r="AG22" s="144" t="e">
        <f>IF(AND(#REF!="Alta",#REF!="Mayor"),CONCATENATE("R7C",#REF!),"")</f>
        <v>#REF!</v>
      </c>
      <c r="AH22" s="145" t="e">
        <f>IF(AND(#REF!="Alta",#REF!="Catastrófico"),CONCATENATE("R7C",#REF!),"")</f>
        <v>#REF!</v>
      </c>
      <c r="AI22" s="146" t="e">
        <f>IF(AND(#REF!="Alta",#REF!="Catastrófico"),CONCATENATE("R7C",#REF!),"")</f>
        <v>#REF!</v>
      </c>
      <c r="AJ22" s="146" t="e">
        <f>IF(AND(#REF!="Alta",#REF!="Catastrófico"),CONCATENATE("R7C",#REF!),"")</f>
        <v>#REF!</v>
      </c>
      <c r="AK22" s="146" t="e">
        <f>IF(AND(#REF!="Alta",#REF!="Catastrófico"),CONCATENATE("R7C",#REF!),"")</f>
        <v>#REF!</v>
      </c>
      <c r="AL22" s="146" t="e">
        <f>IF(AND(#REF!="Alta",#REF!="Catastrófico"),CONCATENATE("R7C",#REF!),"")</f>
        <v>#REF!</v>
      </c>
      <c r="AM22" s="147" t="e">
        <f>IF(AND(#REF!="Alta",#REF!="Catastrófico"),CONCATENATE("R7C",#REF!),"")</f>
        <v>#REF!</v>
      </c>
      <c r="AN22" s="115"/>
      <c r="AO22" s="684"/>
      <c r="AP22" s="670"/>
      <c r="AQ22" s="670"/>
      <c r="AR22" s="670"/>
      <c r="AS22" s="670"/>
      <c r="AT22" s="685"/>
      <c r="AU22" s="115"/>
      <c r="AV22" s="115"/>
      <c r="AW22" s="115"/>
      <c r="AX22" s="115"/>
      <c r="AY22" s="115"/>
      <c r="AZ22" s="115"/>
      <c r="BA22" s="115"/>
      <c r="BB22" s="115"/>
      <c r="BC22" s="115"/>
      <c r="BD22" s="115"/>
      <c r="BE22" s="115"/>
      <c r="BF22" s="115"/>
      <c r="BG22" s="115"/>
      <c r="BH22" s="115"/>
      <c r="BI22" s="115"/>
    </row>
    <row r="23" spans="1:61" ht="15" customHeight="1" x14ac:dyDescent="0.25">
      <c r="A23" s="115"/>
      <c r="B23" s="654"/>
      <c r="C23" s="670"/>
      <c r="D23" s="653"/>
      <c r="E23" s="659"/>
      <c r="F23" s="670"/>
      <c r="G23" s="670"/>
      <c r="H23" s="670"/>
      <c r="I23" s="670"/>
      <c r="J23" s="154" t="e">
        <f>IF(AND(#REF!="Alta",#REF!="Leve"),CONCATENATE("R8C",#REF!),"")</f>
        <v>#REF!</v>
      </c>
      <c r="K23" s="155" t="e">
        <f>IF(AND(#REF!="Alta",#REF!="Leve"),CONCATENATE("R8C",#REF!),"")</f>
        <v>#REF!</v>
      </c>
      <c r="L23" s="155" t="e">
        <f>IF(AND(#REF!="Alta",#REF!="Leve"),CONCATENATE("R8C",#REF!),"")</f>
        <v>#REF!</v>
      </c>
      <c r="M23" s="155" t="e">
        <f>IF(AND(#REF!="Alta",#REF!="Leve"),CONCATENATE("R8C",#REF!),"")</f>
        <v>#REF!</v>
      </c>
      <c r="N23" s="155" t="e">
        <f>IF(AND(#REF!="Alta",#REF!="Leve"),CONCATENATE("R8C",#REF!),"")</f>
        <v>#REF!</v>
      </c>
      <c r="O23" s="156" t="e">
        <f>IF(AND(#REF!="Alta",#REF!="Leve"),CONCATENATE("R8C",#REF!),"")</f>
        <v>#REF!</v>
      </c>
      <c r="P23" s="154" t="e">
        <f>IF(AND(#REF!="Alta",#REF!="Menor"),CONCATENATE("R8C",#REF!),"")</f>
        <v>#REF!</v>
      </c>
      <c r="Q23" s="155" t="e">
        <f>IF(AND(#REF!="Alta",#REF!="Menor"),CONCATENATE("R8C",#REF!),"")</f>
        <v>#REF!</v>
      </c>
      <c r="R23" s="155" t="e">
        <f>IF(AND(#REF!="Alta",#REF!="Menor"),CONCATENATE("R8C",#REF!),"")</f>
        <v>#REF!</v>
      </c>
      <c r="S23" s="155" t="e">
        <f>IF(AND(#REF!="Alta",#REF!="Menor"),CONCATENATE("R8C",#REF!),"")</f>
        <v>#REF!</v>
      </c>
      <c r="T23" s="155" t="e">
        <f>IF(AND(#REF!="Alta",#REF!="Menor"),CONCATENATE("R8C",#REF!),"")</f>
        <v>#REF!</v>
      </c>
      <c r="U23" s="156" t="e">
        <f>IF(AND(#REF!="Alta",#REF!="Menor"),CONCATENATE("R8C",#REF!),"")</f>
        <v>#REF!</v>
      </c>
      <c r="V23" s="142" t="e">
        <f>IF(AND(#REF!="Alta",#REF!="Moderado"),CONCATENATE("R8C",#REF!),"")</f>
        <v>#REF!</v>
      </c>
      <c r="W23" s="143" t="e">
        <f>IF(AND(#REF!="Alta",#REF!="Moderado"),CONCATENATE("R8C",#REF!),"")</f>
        <v>#REF!</v>
      </c>
      <c r="X23" s="143" t="e">
        <f>IF(AND(#REF!="Alta",#REF!="Moderado"),CONCATENATE("R8C",#REF!),"")</f>
        <v>#REF!</v>
      </c>
      <c r="Y23" s="143" t="e">
        <f>IF(AND(#REF!="Alta",#REF!="Moderado"),CONCATENATE("R8C",#REF!),"")</f>
        <v>#REF!</v>
      </c>
      <c r="Z23" s="143" t="e">
        <f>IF(AND(#REF!="Alta",#REF!="Moderado"),CONCATENATE("R8C",#REF!),"")</f>
        <v>#REF!</v>
      </c>
      <c r="AA23" s="144" t="e">
        <f>IF(AND(#REF!="Alta",#REF!="Moderado"),CONCATENATE("R8C",#REF!),"")</f>
        <v>#REF!</v>
      </c>
      <c r="AB23" s="142" t="e">
        <f>IF(AND(#REF!="Alta",#REF!="Mayor"),CONCATENATE("R8C",#REF!),"")</f>
        <v>#REF!</v>
      </c>
      <c r="AC23" s="143" t="e">
        <f>IF(AND(#REF!="Alta",#REF!="Mayor"),CONCATENATE("R8C",#REF!),"")</f>
        <v>#REF!</v>
      </c>
      <c r="AD23" s="143" t="e">
        <f>IF(AND(#REF!="Alta",#REF!="Mayor"),CONCATENATE("R8C",#REF!),"")</f>
        <v>#REF!</v>
      </c>
      <c r="AE23" s="143" t="e">
        <f>IF(AND(#REF!="Alta",#REF!="Mayor"),CONCATENATE("R8C",#REF!),"")</f>
        <v>#REF!</v>
      </c>
      <c r="AF23" s="143" t="e">
        <f>IF(AND(#REF!="Alta",#REF!="Mayor"),CONCATENATE("R8C",#REF!),"")</f>
        <v>#REF!</v>
      </c>
      <c r="AG23" s="144" t="e">
        <f>IF(AND(#REF!="Alta",#REF!="Mayor"),CONCATENATE("R8C",#REF!),"")</f>
        <v>#REF!</v>
      </c>
      <c r="AH23" s="145" t="e">
        <f>IF(AND(#REF!="Alta",#REF!="Catastrófico"),CONCATENATE("R8C",#REF!),"")</f>
        <v>#REF!</v>
      </c>
      <c r="AI23" s="146" t="e">
        <f>IF(AND(#REF!="Alta",#REF!="Catastrófico"),CONCATENATE("R8C",#REF!),"")</f>
        <v>#REF!</v>
      </c>
      <c r="AJ23" s="146" t="e">
        <f>IF(AND(#REF!="Alta",#REF!="Catastrófico"),CONCATENATE("R8C",#REF!),"")</f>
        <v>#REF!</v>
      </c>
      <c r="AK23" s="146" t="e">
        <f>IF(AND(#REF!="Alta",#REF!="Catastrófico"),CONCATENATE("R8C",#REF!),"")</f>
        <v>#REF!</v>
      </c>
      <c r="AL23" s="146" t="e">
        <f>IF(AND(#REF!="Alta",#REF!="Catastrófico"),CONCATENATE("R8C",#REF!),"")</f>
        <v>#REF!</v>
      </c>
      <c r="AM23" s="147" t="e">
        <f>IF(AND(#REF!="Alta",#REF!="Catastrófico"),CONCATENATE("R8C",#REF!),"")</f>
        <v>#REF!</v>
      </c>
      <c r="AN23" s="115"/>
      <c r="AO23" s="684"/>
      <c r="AP23" s="670"/>
      <c r="AQ23" s="670"/>
      <c r="AR23" s="670"/>
      <c r="AS23" s="670"/>
      <c r="AT23" s="685"/>
      <c r="AU23" s="115"/>
      <c r="AV23" s="115"/>
      <c r="AW23" s="115"/>
      <c r="AX23" s="115"/>
      <c r="AY23" s="115"/>
      <c r="AZ23" s="115"/>
      <c r="BA23" s="115"/>
      <c r="BB23" s="115"/>
      <c r="BC23" s="115"/>
      <c r="BD23" s="115"/>
      <c r="BE23" s="115"/>
      <c r="BF23" s="115"/>
      <c r="BG23" s="115"/>
      <c r="BH23" s="115"/>
      <c r="BI23" s="115"/>
    </row>
    <row r="24" spans="1:61" ht="15" customHeight="1" x14ac:dyDescent="0.25">
      <c r="A24" s="115"/>
      <c r="B24" s="654"/>
      <c r="C24" s="670"/>
      <c r="D24" s="653"/>
      <c r="E24" s="659"/>
      <c r="F24" s="670"/>
      <c r="G24" s="670"/>
      <c r="H24" s="670"/>
      <c r="I24" s="670"/>
      <c r="J24" s="154" t="e">
        <f>IF(AND(#REF!="Alta",#REF!="Leve"),CONCATENATE("R9C",#REF!),"")</f>
        <v>#REF!</v>
      </c>
      <c r="K24" s="155" t="e">
        <f>IF(AND(#REF!="Alta",#REF!="Leve"),CONCATENATE("R9C",#REF!),"")</f>
        <v>#REF!</v>
      </c>
      <c r="L24" s="155" t="e">
        <f>IF(AND(#REF!="Alta",#REF!="Leve"),CONCATENATE("R9C",#REF!),"")</f>
        <v>#REF!</v>
      </c>
      <c r="M24" s="155" t="e">
        <f>IF(AND(#REF!="Alta",#REF!="Leve"),CONCATENATE("R9C",#REF!),"")</f>
        <v>#REF!</v>
      </c>
      <c r="N24" s="155" t="e">
        <f>IF(AND(#REF!="Alta",#REF!="Leve"),CONCATENATE("R9C",#REF!),"")</f>
        <v>#REF!</v>
      </c>
      <c r="O24" s="156" t="e">
        <f>IF(AND(#REF!="Alta",#REF!="Leve"),CONCATENATE("R9C",#REF!),"")</f>
        <v>#REF!</v>
      </c>
      <c r="P24" s="154" t="e">
        <f>IF(AND(#REF!="Alta",#REF!="Menor"),CONCATENATE("R9C",#REF!),"")</f>
        <v>#REF!</v>
      </c>
      <c r="Q24" s="155" t="e">
        <f>IF(AND(#REF!="Alta",#REF!="Menor"),CONCATENATE("R9C",#REF!),"")</f>
        <v>#REF!</v>
      </c>
      <c r="R24" s="155" t="e">
        <f>IF(AND(#REF!="Alta",#REF!="Menor"),CONCATENATE("R9C",#REF!),"")</f>
        <v>#REF!</v>
      </c>
      <c r="S24" s="155" t="e">
        <f>IF(AND(#REF!="Alta",#REF!="Menor"),CONCATENATE("R9C",#REF!),"")</f>
        <v>#REF!</v>
      </c>
      <c r="T24" s="155" t="e">
        <f>IF(AND(#REF!="Alta",#REF!="Menor"),CONCATENATE("R9C",#REF!),"")</f>
        <v>#REF!</v>
      </c>
      <c r="U24" s="156" t="e">
        <f>IF(AND(#REF!="Alta",#REF!="Menor"),CONCATENATE("R9C",#REF!),"")</f>
        <v>#REF!</v>
      </c>
      <c r="V24" s="142" t="e">
        <f>IF(AND(#REF!="Alta",#REF!="Moderado"),CONCATENATE("R9C",#REF!),"")</f>
        <v>#REF!</v>
      </c>
      <c r="W24" s="143" t="e">
        <f>IF(AND(#REF!="Alta",#REF!="Moderado"),CONCATENATE("R9C",#REF!),"")</f>
        <v>#REF!</v>
      </c>
      <c r="X24" s="143" t="e">
        <f>IF(AND(#REF!="Alta",#REF!="Moderado"),CONCATENATE("R9C",#REF!),"")</f>
        <v>#REF!</v>
      </c>
      <c r="Y24" s="143" t="e">
        <f>IF(AND(#REF!="Alta",#REF!="Moderado"),CONCATENATE("R9C",#REF!),"")</f>
        <v>#REF!</v>
      </c>
      <c r="Z24" s="143" t="e">
        <f>IF(AND(#REF!="Alta",#REF!="Moderado"),CONCATENATE("R9C",#REF!),"")</f>
        <v>#REF!</v>
      </c>
      <c r="AA24" s="144" t="e">
        <f>IF(AND(#REF!="Alta",#REF!="Moderado"),CONCATENATE("R9C",#REF!),"")</f>
        <v>#REF!</v>
      </c>
      <c r="AB24" s="142" t="e">
        <f>IF(AND(#REF!="Alta",#REF!="Mayor"),CONCATENATE("R9C",#REF!),"")</f>
        <v>#REF!</v>
      </c>
      <c r="AC24" s="143" t="e">
        <f>IF(AND(#REF!="Alta",#REF!="Mayor"),CONCATENATE("R9C",#REF!),"")</f>
        <v>#REF!</v>
      </c>
      <c r="AD24" s="143" t="e">
        <f>IF(AND(#REF!="Alta",#REF!="Mayor"),CONCATENATE("R9C",#REF!),"")</f>
        <v>#REF!</v>
      </c>
      <c r="AE24" s="143" t="e">
        <f>IF(AND(#REF!="Alta",#REF!="Mayor"),CONCATENATE("R9C",#REF!),"")</f>
        <v>#REF!</v>
      </c>
      <c r="AF24" s="143" t="e">
        <f>IF(AND(#REF!="Alta",#REF!="Mayor"),CONCATENATE("R9C",#REF!),"")</f>
        <v>#REF!</v>
      </c>
      <c r="AG24" s="144" t="e">
        <f>IF(AND(#REF!="Alta",#REF!="Mayor"),CONCATENATE("R9C",#REF!),"")</f>
        <v>#REF!</v>
      </c>
      <c r="AH24" s="145" t="e">
        <f>IF(AND(#REF!="Alta",#REF!="Catastrófico"),CONCATENATE("R9C",#REF!),"")</f>
        <v>#REF!</v>
      </c>
      <c r="AI24" s="146" t="e">
        <f>IF(AND(#REF!="Alta",#REF!="Catastrófico"),CONCATENATE("R9C",#REF!),"")</f>
        <v>#REF!</v>
      </c>
      <c r="AJ24" s="146" t="e">
        <f>IF(AND(#REF!="Alta",#REF!="Catastrófico"),CONCATENATE("R9C",#REF!),"")</f>
        <v>#REF!</v>
      </c>
      <c r="AK24" s="146" t="e">
        <f>IF(AND(#REF!="Alta",#REF!="Catastrófico"),CONCATENATE("R9C",#REF!),"")</f>
        <v>#REF!</v>
      </c>
      <c r="AL24" s="146" t="e">
        <f>IF(AND(#REF!="Alta",#REF!="Catastrófico"),CONCATENATE("R9C",#REF!),"")</f>
        <v>#REF!</v>
      </c>
      <c r="AM24" s="147" t="e">
        <f>IF(AND(#REF!="Alta",#REF!="Catastrófico"),CONCATENATE("R9C",#REF!),"")</f>
        <v>#REF!</v>
      </c>
      <c r="AN24" s="115"/>
      <c r="AO24" s="684"/>
      <c r="AP24" s="670"/>
      <c r="AQ24" s="670"/>
      <c r="AR24" s="670"/>
      <c r="AS24" s="670"/>
      <c r="AT24" s="685"/>
      <c r="AU24" s="115"/>
      <c r="AV24" s="115"/>
      <c r="AW24" s="115"/>
      <c r="AX24" s="115"/>
      <c r="AY24" s="115"/>
      <c r="AZ24" s="115"/>
      <c r="BA24" s="115"/>
      <c r="BB24" s="115"/>
      <c r="BC24" s="115"/>
      <c r="BD24" s="115"/>
      <c r="BE24" s="115"/>
      <c r="BF24" s="115"/>
      <c r="BG24" s="115"/>
      <c r="BH24" s="115"/>
      <c r="BI24" s="115"/>
    </row>
    <row r="25" spans="1:61" ht="15.75" customHeight="1" thickBot="1" x14ac:dyDescent="0.3">
      <c r="A25" s="115"/>
      <c r="B25" s="654"/>
      <c r="C25" s="670"/>
      <c r="D25" s="653"/>
      <c r="E25" s="671"/>
      <c r="F25" s="672"/>
      <c r="G25" s="672"/>
      <c r="H25" s="672"/>
      <c r="I25" s="672"/>
      <c r="J25" s="157" t="e">
        <f>IF(AND(#REF!="Alta",#REF!="Leve"),CONCATENATE("R10C",#REF!),"")</f>
        <v>#REF!</v>
      </c>
      <c r="K25" s="158" t="e">
        <f>IF(AND(#REF!="Alta",#REF!="Leve"),CONCATENATE("R10C",#REF!),"")</f>
        <v>#REF!</v>
      </c>
      <c r="L25" s="158" t="e">
        <f>IF(AND(#REF!="Alta",#REF!="Leve"),CONCATENATE("R10C",#REF!),"")</f>
        <v>#REF!</v>
      </c>
      <c r="M25" s="158" t="e">
        <f>IF(AND(#REF!="Alta",#REF!="Leve"),CONCATENATE("R10C",#REF!),"")</f>
        <v>#REF!</v>
      </c>
      <c r="N25" s="158" t="e">
        <f>IF(AND(#REF!="Alta",#REF!="Leve"),CONCATENATE("R10C",#REF!),"")</f>
        <v>#REF!</v>
      </c>
      <c r="O25" s="159" t="e">
        <f>IF(AND(#REF!="Alta",#REF!="Leve"),CONCATENATE("R10C",#REF!),"")</f>
        <v>#REF!</v>
      </c>
      <c r="P25" s="157" t="e">
        <f>IF(AND(#REF!="Alta",#REF!="Menor"),CONCATENATE("R10C",#REF!),"")</f>
        <v>#REF!</v>
      </c>
      <c r="Q25" s="158" t="e">
        <f>IF(AND(#REF!="Alta",#REF!="Menor"),CONCATENATE("R10C",#REF!),"")</f>
        <v>#REF!</v>
      </c>
      <c r="R25" s="158" t="e">
        <f>IF(AND(#REF!="Alta",#REF!="Menor"),CONCATENATE("R10C",#REF!),"")</f>
        <v>#REF!</v>
      </c>
      <c r="S25" s="158" t="e">
        <f>IF(AND(#REF!="Alta",#REF!="Menor"),CONCATENATE("R10C",#REF!),"")</f>
        <v>#REF!</v>
      </c>
      <c r="T25" s="158" t="e">
        <f>IF(AND(#REF!="Alta",#REF!="Menor"),CONCATENATE("R10C",#REF!),"")</f>
        <v>#REF!</v>
      </c>
      <c r="U25" s="159" t="e">
        <f>IF(AND(#REF!="Alta",#REF!="Menor"),CONCATENATE("R10C",#REF!),"")</f>
        <v>#REF!</v>
      </c>
      <c r="V25" s="148" t="e">
        <f>IF(AND(#REF!="Alta",#REF!="Moderado"),CONCATENATE("R10C",#REF!),"")</f>
        <v>#REF!</v>
      </c>
      <c r="W25" s="149" t="e">
        <f>IF(AND(#REF!="Alta",#REF!="Moderado"),CONCATENATE("R10C",#REF!),"")</f>
        <v>#REF!</v>
      </c>
      <c r="X25" s="149" t="e">
        <f>IF(AND(#REF!="Alta",#REF!="Moderado"),CONCATENATE("R10C",#REF!),"")</f>
        <v>#REF!</v>
      </c>
      <c r="Y25" s="149" t="e">
        <f>IF(AND(#REF!="Alta",#REF!="Moderado"),CONCATENATE("R10C",#REF!),"")</f>
        <v>#REF!</v>
      </c>
      <c r="Z25" s="149" t="e">
        <f>IF(AND(#REF!="Alta",#REF!="Moderado"),CONCATENATE("R10C",#REF!),"")</f>
        <v>#REF!</v>
      </c>
      <c r="AA25" s="150" t="e">
        <f>IF(AND(#REF!="Alta",#REF!="Moderado"),CONCATENATE("R10C",#REF!),"")</f>
        <v>#REF!</v>
      </c>
      <c r="AB25" s="148" t="e">
        <f>IF(AND(#REF!="Alta",#REF!="Mayor"),CONCATENATE("R10C",#REF!),"")</f>
        <v>#REF!</v>
      </c>
      <c r="AC25" s="149" t="e">
        <f>IF(AND(#REF!="Alta",#REF!="Mayor"),CONCATENATE("R10C",#REF!),"")</f>
        <v>#REF!</v>
      </c>
      <c r="AD25" s="149" t="e">
        <f>IF(AND(#REF!="Alta",#REF!="Mayor"),CONCATENATE("R10C",#REF!),"")</f>
        <v>#REF!</v>
      </c>
      <c r="AE25" s="149" t="e">
        <f>IF(AND(#REF!="Alta",#REF!="Mayor"),CONCATENATE("R10C",#REF!),"")</f>
        <v>#REF!</v>
      </c>
      <c r="AF25" s="149" t="e">
        <f>IF(AND(#REF!="Alta",#REF!="Mayor"),CONCATENATE("R10C",#REF!),"")</f>
        <v>#REF!</v>
      </c>
      <c r="AG25" s="150" t="e">
        <f>IF(AND(#REF!="Alta",#REF!="Mayor"),CONCATENATE("R10C",#REF!),"")</f>
        <v>#REF!</v>
      </c>
      <c r="AH25" s="151" t="e">
        <f>IF(AND(#REF!="Alta",#REF!="Catastrófico"),CONCATENATE("R10C",#REF!),"")</f>
        <v>#REF!</v>
      </c>
      <c r="AI25" s="152" t="e">
        <f>IF(AND(#REF!="Alta",#REF!="Catastrófico"),CONCATENATE("R10C",#REF!),"")</f>
        <v>#REF!</v>
      </c>
      <c r="AJ25" s="152" t="e">
        <f>IF(AND(#REF!="Alta",#REF!="Catastrófico"),CONCATENATE("R10C",#REF!),"")</f>
        <v>#REF!</v>
      </c>
      <c r="AK25" s="152" t="e">
        <f>IF(AND(#REF!="Alta",#REF!="Catastrófico"),CONCATENATE("R10C",#REF!),"")</f>
        <v>#REF!</v>
      </c>
      <c r="AL25" s="152" t="e">
        <f>IF(AND(#REF!="Alta",#REF!="Catastrófico"),CONCATENATE("R10C",#REF!),"")</f>
        <v>#REF!</v>
      </c>
      <c r="AM25" s="153" t="e">
        <f>IF(AND(#REF!="Alta",#REF!="Catastrófico"),CONCATENATE("R10C",#REF!),"")</f>
        <v>#REF!</v>
      </c>
      <c r="AN25" s="115"/>
      <c r="AO25" s="686"/>
      <c r="AP25" s="687"/>
      <c r="AQ25" s="687"/>
      <c r="AR25" s="687"/>
      <c r="AS25" s="687"/>
      <c r="AT25" s="688"/>
      <c r="AU25" s="115"/>
      <c r="AV25" s="115"/>
      <c r="AW25" s="115"/>
      <c r="AX25" s="115"/>
      <c r="AY25" s="115"/>
      <c r="AZ25" s="115"/>
      <c r="BA25" s="115"/>
      <c r="BB25" s="115"/>
      <c r="BC25" s="115"/>
      <c r="BD25" s="115"/>
      <c r="BE25" s="115"/>
      <c r="BF25" s="115"/>
      <c r="BG25" s="115"/>
      <c r="BH25" s="115"/>
      <c r="BI25" s="115"/>
    </row>
    <row r="26" spans="1:61" ht="15" customHeight="1" x14ac:dyDescent="0.25">
      <c r="A26" s="115"/>
      <c r="B26" s="654"/>
      <c r="C26" s="670"/>
      <c r="D26" s="653"/>
      <c r="E26" s="693" t="s">
        <v>7</v>
      </c>
      <c r="F26" s="656"/>
      <c r="G26" s="656"/>
      <c r="H26" s="656"/>
      <c r="I26" s="657"/>
      <c r="J26" s="25" t="e">
        <f>IF(AND(#REF!="Media",#REF!="Leve"),CONCATENATE("R1C",#REF!),"")</f>
        <v>#REF!</v>
      </c>
      <c r="K26" s="26" t="e">
        <f>IF(AND(#REF!="Media",#REF!="Leve"),CONCATENATE("R1C",#REF!),"")</f>
        <v>#REF!</v>
      </c>
      <c r="L26" s="26" t="e">
        <f>IF(AND(#REF!="Media",#REF!="Leve"),CONCATENATE("R1C",#REF!),"")</f>
        <v>#REF!</v>
      </c>
      <c r="M26" s="26" t="e">
        <f>IF(AND(#REF!="Media",#REF!="Leve"),CONCATENATE("R1C",#REF!),"")</f>
        <v>#REF!</v>
      </c>
      <c r="N26" s="26" t="e">
        <f>IF(AND(#REF!="Media",#REF!="Leve"),CONCATENATE("R1C",#REF!),"")</f>
        <v>#REF!</v>
      </c>
      <c r="O26" s="27" t="e">
        <f>IF(AND(#REF!="Media",#REF!="Leve"),CONCATENATE("R1C",#REF!),"")</f>
        <v>#REF!</v>
      </c>
      <c r="P26" s="25" t="e">
        <f>IF(AND(#REF!="Media",#REF!="Menor"),CONCATENATE("R1C",#REF!),"")</f>
        <v>#REF!</v>
      </c>
      <c r="Q26" s="26" t="e">
        <f>IF(AND(#REF!="Media",#REF!="Menor"),CONCATENATE("R1C",#REF!),"")</f>
        <v>#REF!</v>
      </c>
      <c r="R26" s="26" t="e">
        <f>IF(AND(#REF!="Media",#REF!="Menor"),CONCATENATE("R1C",#REF!),"")</f>
        <v>#REF!</v>
      </c>
      <c r="S26" s="26" t="e">
        <f>IF(AND(#REF!="Media",#REF!="Menor"),CONCATENATE("R1C",#REF!),"")</f>
        <v>#REF!</v>
      </c>
      <c r="T26" s="26" t="e">
        <f>IF(AND(#REF!="Media",#REF!="Menor"),CONCATENATE("R1C",#REF!),"")</f>
        <v>#REF!</v>
      </c>
      <c r="U26" s="27" t="e">
        <f>IF(AND(#REF!="Media",#REF!="Menor"),CONCATENATE("R1C",#REF!),"")</f>
        <v>#REF!</v>
      </c>
      <c r="V26" s="25" t="e">
        <f>IF(AND(#REF!="Media",#REF!="Moderado"),CONCATENATE("R1C",#REF!),"")</f>
        <v>#REF!</v>
      </c>
      <c r="W26" s="26" t="e">
        <f>IF(AND(#REF!="Media",#REF!="Moderado"),CONCATENATE("R1C",#REF!),"")</f>
        <v>#REF!</v>
      </c>
      <c r="X26" s="26" t="e">
        <f>IF(AND(#REF!="Media",#REF!="Moderado"),CONCATENATE("R1C",#REF!),"")</f>
        <v>#REF!</v>
      </c>
      <c r="Y26" s="26" t="e">
        <f>IF(AND(#REF!="Media",#REF!="Moderado"),CONCATENATE("R1C",#REF!),"")</f>
        <v>#REF!</v>
      </c>
      <c r="Z26" s="26" t="e">
        <f>IF(AND(#REF!="Media",#REF!="Moderado"),CONCATENATE("R1C",#REF!),"")</f>
        <v>#REF!</v>
      </c>
      <c r="AA26" s="27" t="e">
        <f>IF(AND(#REF!="Media",#REF!="Moderado"),CONCATENATE("R1C",#REF!),"")</f>
        <v>#REF!</v>
      </c>
      <c r="AB26" s="19" t="e">
        <f>IF(AND(#REF!="Media",#REF!="Mayor"),CONCATENATE("R1C",#REF!),"")</f>
        <v>#REF!</v>
      </c>
      <c r="AC26" s="20" t="e">
        <f>IF(AND(#REF!="Media",#REF!="Mayor"),CONCATENATE("R1C",#REF!),"")</f>
        <v>#REF!</v>
      </c>
      <c r="AD26" s="20" t="e">
        <f>IF(AND(#REF!="Media",#REF!="Mayor"),CONCATENATE("R1C",#REF!),"")</f>
        <v>#REF!</v>
      </c>
      <c r="AE26" s="20" t="e">
        <f>IF(AND(#REF!="Media",#REF!="Mayor"),CONCATENATE("R1C",#REF!),"")</f>
        <v>#REF!</v>
      </c>
      <c r="AF26" s="20" t="e">
        <f>IF(AND(#REF!="Media",#REF!="Mayor"),CONCATENATE("R1C",#REF!),"")</f>
        <v>#REF!</v>
      </c>
      <c r="AG26" s="21" t="e">
        <f>IF(AND(#REF!="Media",#REF!="Mayor"),CONCATENATE("R1C",#REF!),"")</f>
        <v>#REF!</v>
      </c>
      <c r="AH26" s="22" t="e">
        <f>IF(AND(#REF!="Media",#REF!="Catastrófico"),CONCATENATE("R1C",#REF!),"")</f>
        <v>#REF!</v>
      </c>
      <c r="AI26" s="23" t="e">
        <f>IF(AND(#REF!="Media",#REF!="Catastrófico"),CONCATENATE("R1C",#REF!),"")</f>
        <v>#REF!</v>
      </c>
      <c r="AJ26" s="23" t="e">
        <f>IF(AND(#REF!="Media",#REF!="Catastrófico"),CONCATENATE("R1C",#REF!),"")</f>
        <v>#REF!</v>
      </c>
      <c r="AK26" s="23" t="e">
        <f>IF(AND(#REF!="Media",#REF!="Catastrófico"),CONCATENATE("R1C",#REF!),"")</f>
        <v>#REF!</v>
      </c>
      <c r="AL26" s="23" t="e">
        <f>IF(AND(#REF!="Media",#REF!="Catastrófico"),CONCATENATE("R1C",#REF!),"")</f>
        <v>#REF!</v>
      </c>
      <c r="AM26" s="24" t="e">
        <f>IF(AND(#REF!="Media",#REF!="Catastrófico"),CONCATENATE("R1C",#REF!),"")</f>
        <v>#REF!</v>
      </c>
      <c r="AN26" s="115"/>
      <c r="AO26" s="695" t="s">
        <v>8</v>
      </c>
      <c r="AP26" s="682"/>
      <c r="AQ26" s="682"/>
      <c r="AR26" s="682"/>
      <c r="AS26" s="682"/>
      <c r="AT26" s="683"/>
      <c r="AU26" s="115"/>
      <c r="AV26" s="115"/>
      <c r="AW26" s="115"/>
      <c r="AX26" s="115"/>
      <c r="AY26" s="115"/>
      <c r="AZ26" s="115"/>
      <c r="BA26" s="115"/>
      <c r="BB26" s="115"/>
      <c r="BC26" s="115"/>
      <c r="BD26" s="115"/>
      <c r="BE26" s="115"/>
      <c r="BF26" s="115"/>
      <c r="BG26" s="115"/>
      <c r="BH26" s="115"/>
      <c r="BI26" s="115"/>
    </row>
    <row r="27" spans="1:61" ht="15" customHeight="1" x14ac:dyDescent="0.25">
      <c r="A27" s="115"/>
      <c r="B27" s="654"/>
      <c r="C27" s="670"/>
      <c r="D27" s="653"/>
      <c r="E27" s="659"/>
      <c r="F27" s="670"/>
      <c r="G27" s="670"/>
      <c r="H27" s="670"/>
      <c r="I27" s="653"/>
      <c r="J27" s="154" t="e">
        <f>IF(AND(#REF!="Media",#REF!="Leve"),CONCATENATE("R2C",#REF!),"")</f>
        <v>#REF!</v>
      </c>
      <c r="K27" s="155" t="e">
        <f>IF(AND(#REF!="Media",#REF!="Leve"),CONCATENATE("R2C",#REF!),"")</f>
        <v>#REF!</v>
      </c>
      <c r="L27" s="155" t="e">
        <f>IF(AND(#REF!="Media",#REF!="Leve"),CONCATENATE("R2C",#REF!),"")</f>
        <v>#REF!</v>
      </c>
      <c r="M27" s="155" t="e">
        <f>IF(AND(#REF!="Media",#REF!="Leve"),CONCATENATE("R2C",#REF!),"")</f>
        <v>#REF!</v>
      </c>
      <c r="N27" s="155" t="e">
        <f>IF(AND(#REF!="Media",#REF!="Leve"),CONCATENATE("R2C",#REF!),"")</f>
        <v>#REF!</v>
      </c>
      <c r="O27" s="156" t="e">
        <f>IF(AND(#REF!="Media",#REF!="Leve"),CONCATENATE("R2C",#REF!),"")</f>
        <v>#REF!</v>
      </c>
      <c r="P27" s="154" t="e">
        <f>IF(AND(#REF!="Media",#REF!="Menor"),CONCATENATE("R2C",#REF!),"")</f>
        <v>#REF!</v>
      </c>
      <c r="Q27" s="155" t="e">
        <f>IF(AND(#REF!="Media",#REF!="Menor"),CONCATENATE("R2C",#REF!),"")</f>
        <v>#REF!</v>
      </c>
      <c r="R27" s="155" t="e">
        <f>IF(AND(#REF!="Media",#REF!="Menor"),CONCATENATE("R2C",#REF!),"")</f>
        <v>#REF!</v>
      </c>
      <c r="S27" s="155" t="e">
        <f>IF(AND(#REF!="Media",#REF!="Menor"),CONCATENATE("R2C",#REF!),"")</f>
        <v>#REF!</v>
      </c>
      <c r="T27" s="155" t="e">
        <f>IF(AND(#REF!="Media",#REF!="Menor"),CONCATENATE("R2C",#REF!),"")</f>
        <v>#REF!</v>
      </c>
      <c r="U27" s="156" t="e">
        <f>IF(AND(#REF!="Media",#REF!="Menor"),CONCATENATE("R2C",#REF!),"")</f>
        <v>#REF!</v>
      </c>
      <c r="V27" s="154" t="e">
        <f>IF(AND(#REF!="Media",#REF!="Moderado"),CONCATENATE("R2C",#REF!),"")</f>
        <v>#REF!</v>
      </c>
      <c r="W27" s="155" t="e">
        <f>IF(AND(#REF!="Media",#REF!="Moderado"),CONCATENATE("R2C",#REF!),"")</f>
        <v>#REF!</v>
      </c>
      <c r="X27" s="155" t="e">
        <f>IF(AND(#REF!="Media",#REF!="Moderado"),CONCATENATE("R2C",#REF!),"")</f>
        <v>#REF!</v>
      </c>
      <c r="Y27" s="155" t="e">
        <f>IF(AND(#REF!="Media",#REF!="Moderado"),CONCATENATE("R2C",#REF!),"")</f>
        <v>#REF!</v>
      </c>
      <c r="Z27" s="155" t="e">
        <f>IF(AND(#REF!="Media",#REF!="Moderado"),CONCATENATE("R2C",#REF!),"")</f>
        <v>#REF!</v>
      </c>
      <c r="AA27" s="156" t="e">
        <f>IF(AND(#REF!="Media",#REF!="Moderado"),CONCATENATE("R2C",#REF!),"")</f>
        <v>#REF!</v>
      </c>
      <c r="AB27" s="142" t="e">
        <f>IF(AND(#REF!="Media",#REF!="Mayor"),CONCATENATE("R2C",#REF!),"")</f>
        <v>#REF!</v>
      </c>
      <c r="AC27" s="143" t="e">
        <f>IF(AND(#REF!="Media",#REF!="Mayor"),CONCATENATE("R2C",#REF!),"")</f>
        <v>#REF!</v>
      </c>
      <c r="AD27" s="143" t="e">
        <f>IF(AND(#REF!="Media",#REF!="Mayor"),CONCATENATE("R2C",#REF!),"")</f>
        <v>#REF!</v>
      </c>
      <c r="AE27" s="143" t="e">
        <f>IF(AND(#REF!="Media",#REF!="Mayor"),CONCATENATE("R2C",#REF!),"")</f>
        <v>#REF!</v>
      </c>
      <c r="AF27" s="143" t="e">
        <f>IF(AND(#REF!="Media",#REF!="Mayor"),CONCATENATE("R2C",#REF!),"")</f>
        <v>#REF!</v>
      </c>
      <c r="AG27" s="144" t="e">
        <f>IF(AND(#REF!="Media",#REF!="Mayor"),CONCATENATE("R2C",#REF!),"")</f>
        <v>#REF!</v>
      </c>
      <c r="AH27" s="145" t="e">
        <f>IF(AND(#REF!="Media",#REF!="Catastrófico"),CONCATENATE("R2C",#REF!),"")</f>
        <v>#REF!</v>
      </c>
      <c r="AI27" s="146" t="e">
        <f>IF(AND(#REF!="Media",#REF!="Catastrófico"),CONCATENATE("R2C",#REF!),"")</f>
        <v>#REF!</v>
      </c>
      <c r="AJ27" s="146" t="e">
        <f>IF(AND(#REF!="Media",#REF!="Catastrófico"),CONCATENATE("R2C",#REF!),"")</f>
        <v>#REF!</v>
      </c>
      <c r="AK27" s="146" t="e">
        <f>IF(AND(#REF!="Media",#REF!="Catastrófico"),CONCATENATE("R2C",#REF!),"")</f>
        <v>#REF!</v>
      </c>
      <c r="AL27" s="146" t="e">
        <f>IF(AND(#REF!="Media",#REF!="Catastrófico"),CONCATENATE("R2C",#REF!),"")</f>
        <v>#REF!</v>
      </c>
      <c r="AM27" s="147" t="e">
        <f>IF(AND(#REF!="Media",#REF!="Catastrófico"),CONCATENATE("R2C",#REF!),"")</f>
        <v>#REF!</v>
      </c>
      <c r="AN27" s="115"/>
      <c r="AO27" s="684"/>
      <c r="AP27" s="670"/>
      <c r="AQ27" s="670"/>
      <c r="AR27" s="670"/>
      <c r="AS27" s="670"/>
      <c r="AT27" s="685"/>
      <c r="AU27" s="115"/>
      <c r="AV27" s="115"/>
      <c r="AW27" s="115"/>
      <c r="AX27" s="115"/>
      <c r="AY27" s="115"/>
      <c r="AZ27" s="115"/>
      <c r="BA27" s="115"/>
      <c r="BB27" s="115"/>
      <c r="BC27" s="115"/>
      <c r="BD27" s="115"/>
      <c r="BE27" s="115"/>
      <c r="BF27" s="115"/>
      <c r="BG27" s="115"/>
      <c r="BH27" s="115"/>
      <c r="BI27" s="115"/>
    </row>
    <row r="28" spans="1:61" ht="15" customHeight="1" x14ac:dyDescent="0.25">
      <c r="A28" s="115"/>
      <c r="B28" s="654"/>
      <c r="C28" s="670"/>
      <c r="D28" s="653"/>
      <c r="E28" s="659"/>
      <c r="F28" s="670"/>
      <c r="G28" s="670"/>
      <c r="H28" s="670"/>
      <c r="I28" s="653"/>
      <c r="J28" s="154" t="e">
        <f>IF(AND(#REF!="Media",#REF!="Leve"),CONCATENATE("R3C",#REF!),"")</f>
        <v>#REF!</v>
      </c>
      <c r="K28" s="155" t="e">
        <f>IF(AND(#REF!="Media",#REF!="Leve"),CONCATENATE("R3C",#REF!),"")</f>
        <v>#REF!</v>
      </c>
      <c r="L28" s="155" t="e">
        <f>IF(AND(#REF!="Media",#REF!="Leve"),CONCATENATE("R3C",#REF!),"")</f>
        <v>#REF!</v>
      </c>
      <c r="M28" s="155" t="e">
        <f>IF(AND(#REF!="Media",#REF!="Leve"),CONCATENATE("R3C",#REF!),"")</f>
        <v>#REF!</v>
      </c>
      <c r="N28" s="155" t="e">
        <f>IF(AND(#REF!="Media",#REF!="Leve"),CONCATENATE("R3C",#REF!),"")</f>
        <v>#REF!</v>
      </c>
      <c r="O28" s="156" t="e">
        <f>IF(AND(#REF!="Media",#REF!="Leve"),CONCATENATE("R3C",#REF!),"")</f>
        <v>#REF!</v>
      </c>
      <c r="P28" s="154" t="e">
        <f>IF(AND(#REF!="Media",#REF!="Menor"),CONCATENATE("R3C",#REF!),"")</f>
        <v>#REF!</v>
      </c>
      <c r="Q28" s="155" t="e">
        <f>IF(AND(#REF!="Media",#REF!="Menor"),CONCATENATE("R3C",#REF!),"")</f>
        <v>#REF!</v>
      </c>
      <c r="R28" s="155" t="e">
        <f>IF(AND(#REF!="Media",#REF!="Menor"),CONCATENATE("R3C",#REF!),"")</f>
        <v>#REF!</v>
      </c>
      <c r="S28" s="155" t="e">
        <f>IF(AND(#REF!="Media",#REF!="Menor"),CONCATENATE("R3C",#REF!),"")</f>
        <v>#REF!</v>
      </c>
      <c r="T28" s="155" t="e">
        <f>IF(AND(#REF!="Media",#REF!="Menor"),CONCATENATE("R3C",#REF!),"")</f>
        <v>#REF!</v>
      </c>
      <c r="U28" s="156" t="e">
        <f>IF(AND(#REF!="Media",#REF!="Menor"),CONCATENATE("R3C",#REF!),"")</f>
        <v>#REF!</v>
      </c>
      <c r="V28" s="154" t="e">
        <f>IF(AND(#REF!="Media",#REF!="Moderado"),CONCATENATE("R3C",#REF!),"")</f>
        <v>#REF!</v>
      </c>
      <c r="W28" s="155" t="e">
        <f>IF(AND(#REF!="Media",#REF!="Moderado"),CONCATENATE("R3C",#REF!),"")</f>
        <v>#REF!</v>
      </c>
      <c r="X28" s="155" t="e">
        <f>IF(AND(#REF!="Media",#REF!="Moderado"),CONCATENATE("R3C",#REF!),"")</f>
        <v>#REF!</v>
      </c>
      <c r="Y28" s="155" t="e">
        <f>IF(AND(#REF!="Media",#REF!="Moderado"),CONCATENATE("R3C",#REF!),"")</f>
        <v>#REF!</v>
      </c>
      <c r="Z28" s="155" t="e">
        <f>IF(AND(#REF!="Media",#REF!="Moderado"),CONCATENATE("R3C",#REF!),"")</f>
        <v>#REF!</v>
      </c>
      <c r="AA28" s="156" t="e">
        <f>IF(AND(#REF!="Media",#REF!="Moderado"),CONCATENATE("R3C",#REF!),"")</f>
        <v>#REF!</v>
      </c>
      <c r="AB28" s="142" t="e">
        <f>IF(AND(#REF!="Media",#REF!="Mayor"),CONCATENATE("R3C",#REF!),"")</f>
        <v>#REF!</v>
      </c>
      <c r="AC28" s="143" t="e">
        <f>IF(AND(#REF!="Media",#REF!="Mayor"),CONCATENATE("R3C",#REF!),"")</f>
        <v>#REF!</v>
      </c>
      <c r="AD28" s="143" t="e">
        <f>IF(AND(#REF!="Media",#REF!="Mayor"),CONCATENATE("R3C",#REF!),"")</f>
        <v>#REF!</v>
      </c>
      <c r="AE28" s="143" t="e">
        <f>IF(AND(#REF!="Media",#REF!="Mayor"),CONCATENATE("R3C",#REF!),"")</f>
        <v>#REF!</v>
      </c>
      <c r="AF28" s="143" t="e">
        <f>IF(AND(#REF!="Media",#REF!="Mayor"),CONCATENATE("R3C",#REF!),"")</f>
        <v>#REF!</v>
      </c>
      <c r="AG28" s="144" t="e">
        <f>IF(AND(#REF!="Media",#REF!="Mayor"),CONCATENATE("R3C",#REF!),"")</f>
        <v>#REF!</v>
      </c>
      <c r="AH28" s="145" t="e">
        <f>IF(AND(#REF!="Media",#REF!="Catastrófico"),CONCATENATE("R3C",#REF!),"")</f>
        <v>#REF!</v>
      </c>
      <c r="AI28" s="146" t="e">
        <f>IF(AND(#REF!="Media",#REF!="Catastrófico"),CONCATENATE("R3C",#REF!),"")</f>
        <v>#REF!</v>
      </c>
      <c r="AJ28" s="146" t="e">
        <f>IF(AND(#REF!="Media",#REF!="Catastrófico"),CONCATENATE("R3C",#REF!),"")</f>
        <v>#REF!</v>
      </c>
      <c r="AK28" s="146" t="e">
        <f>IF(AND(#REF!="Media",#REF!="Catastrófico"),CONCATENATE("R3C",#REF!),"")</f>
        <v>#REF!</v>
      </c>
      <c r="AL28" s="146" t="e">
        <f>IF(AND(#REF!="Media",#REF!="Catastrófico"),CONCATENATE("R3C",#REF!),"")</f>
        <v>#REF!</v>
      </c>
      <c r="AM28" s="147" t="e">
        <f>IF(AND(#REF!="Media",#REF!="Catastrófico"),CONCATENATE("R3C",#REF!),"")</f>
        <v>#REF!</v>
      </c>
      <c r="AN28" s="115"/>
      <c r="AO28" s="684"/>
      <c r="AP28" s="670"/>
      <c r="AQ28" s="670"/>
      <c r="AR28" s="670"/>
      <c r="AS28" s="670"/>
      <c r="AT28" s="685"/>
      <c r="AU28" s="115"/>
      <c r="AV28" s="115"/>
      <c r="AW28" s="115"/>
      <c r="AX28" s="115"/>
      <c r="AY28" s="115"/>
      <c r="AZ28" s="115"/>
      <c r="BA28" s="115"/>
      <c r="BB28" s="115"/>
      <c r="BC28" s="115"/>
      <c r="BD28" s="115"/>
      <c r="BE28" s="115"/>
      <c r="BF28" s="115"/>
      <c r="BG28" s="115"/>
      <c r="BH28" s="115"/>
      <c r="BI28" s="115"/>
    </row>
    <row r="29" spans="1:61" ht="15" customHeight="1" x14ac:dyDescent="0.25">
      <c r="A29" s="115"/>
      <c r="B29" s="654"/>
      <c r="C29" s="670"/>
      <c r="D29" s="653"/>
      <c r="E29" s="659"/>
      <c r="F29" s="670"/>
      <c r="G29" s="670"/>
      <c r="H29" s="670"/>
      <c r="I29" s="653"/>
      <c r="J29" s="154" t="e">
        <f>IF(AND(#REF!="Media",#REF!="Leve"),CONCATENATE("R4C",#REF!),"")</f>
        <v>#REF!</v>
      </c>
      <c r="K29" s="155" t="e">
        <f>IF(AND(#REF!="Media",#REF!="Leve"),CONCATENATE("R4C",#REF!),"")</f>
        <v>#REF!</v>
      </c>
      <c r="L29" s="155" t="e">
        <f>IF(AND(#REF!="Media",#REF!="Leve"),CONCATENATE("R4C",#REF!),"")</f>
        <v>#REF!</v>
      </c>
      <c r="M29" s="155" t="e">
        <f>IF(AND(#REF!="Media",#REF!="Leve"),CONCATENATE("R4C",#REF!),"")</f>
        <v>#REF!</v>
      </c>
      <c r="N29" s="155" t="e">
        <f>IF(AND(#REF!="Media",#REF!="Leve"),CONCATENATE("R4C",#REF!),"")</f>
        <v>#REF!</v>
      </c>
      <c r="O29" s="156" t="e">
        <f>IF(AND(#REF!="Media",#REF!="Leve"),CONCATENATE("R4C",#REF!),"")</f>
        <v>#REF!</v>
      </c>
      <c r="P29" s="154" t="e">
        <f>IF(AND(#REF!="Media",#REF!="Menor"),CONCATENATE("R4C",#REF!),"")</f>
        <v>#REF!</v>
      </c>
      <c r="Q29" s="155" t="e">
        <f>IF(AND(#REF!="Media",#REF!="Menor"),CONCATENATE("R4C",#REF!),"")</f>
        <v>#REF!</v>
      </c>
      <c r="R29" s="155" t="e">
        <f>IF(AND(#REF!="Media",#REF!="Menor"),CONCATENATE("R4C",#REF!),"")</f>
        <v>#REF!</v>
      </c>
      <c r="S29" s="155" t="e">
        <f>IF(AND(#REF!="Media",#REF!="Menor"),CONCATENATE("R4C",#REF!),"")</f>
        <v>#REF!</v>
      </c>
      <c r="T29" s="155" t="e">
        <f>IF(AND(#REF!="Media",#REF!="Menor"),CONCATENATE("R4C",#REF!),"")</f>
        <v>#REF!</v>
      </c>
      <c r="U29" s="156" t="e">
        <f>IF(AND(#REF!="Media",#REF!="Menor"),CONCATENATE("R4C",#REF!),"")</f>
        <v>#REF!</v>
      </c>
      <c r="V29" s="154" t="e">
        <f>IF(AND(#REF!="Media",#REF!="Moderado"),CONCATENATE("R4C",#REF!),"")</f>
        <v>#REF!</v>
      </c>
      <c r="W29" s="155" t="e">
        <f>IF(AND(#REF!="Media",#REF!="Moderado"),CONCATENATE("R4C",#REF!),"")</f>
        <v>#REF!</v>
      </c>
      <c r="X29" s="155" t="e">
        <f>IF(AND(#REF!="Media",#REF!="Moderado"),CONCATENATE("R4C",#REF!),"")</f>
        <v>#REF!</v>
      </c>
      <c r="Y29" s="155" t="e">
        <f>IF(AND(#REF!="Media",#REF!="Moderado"),CONCATENATE("R4C",#REF!),"")</f>
        <v>#REF!</v>
      </c>
      <c r="Z29" s="155" t="e">
        <f>IF(AND(#REF!="Media",#REF!="Moderado"),CONCATENATE("R4C",#REF!),"")</f>
        <v>#REF!</v>
      </c>
      <c r="AA29" s="156" t="e">
        <f>IF(AND(#REF!="Media",#REF!="Moderado"),CONCATENATE("R4C",#REF!),"")</f>
        <v>#REF!</v>
      </c>
      <c r="AB29" s="142" t="e">
        <f>IF(AND(#REF!="Media",#REF!="Mayor"),CONCATENATE("R4C",#REF!),"")</f>
        <v>#REF!</v>
      </c>
      <c r="AC29" s="143" t="e">
        <f>IF(AND(#REF!="Media",#REF!="Mayor"),CONCATENATE("R4C",#REF!),"")</f>
        <v>#REF!</v>
      </c>
      <c r="AD29" s="143" t="e">
        <f>IF(AND(#REF!="Media",#REF!="Mayor"),CONCATENATE("R4C",#REF!),"")</f>
        <v>#REF!</v>
      </c>
      <c r="AE29" s="143" t="e">
        <f>IF(AND(#REF!="Media",#REF!="Mayor"),CONCATENATE("R4C",#REF!),"")</f>
        <v>#REF!</v>
      </c>
      <c r="AF29" s="143" t="e">
        <f>IF(AND(#REF!="Media",#REF!="Mayor"),CONCATENATE("R4C",#REF!),"")</f>
        <v>#REF!</v>
      </c>
      <c r="AG29" s="144" t="e">
        <f>IF(AND(#REF!="Media",#REF!="Mayor"),CONCATENATE("R4C",#REF!),"")</f>
        <v>#REF!</v>
      </c>
      <c r="AH29" s="145" t="e">
        <f>IF(AND(#REF!="Media",#REF!="Catastrófico"),CONCATENATE("R4C",#REF!),"")</f>
        <v>#REF!</v>
      </c>
      <c r="AI29" s="146" t="e">
        <f>IF(AND(#REF!="Media",#REF!="Catastrófico"),CONCATENATE("R4C",#REF!),"")</f>
        <v>#REF!</v>
      </c>
      <c r="AJ29" s="146" t="e">
        <f>IF(AND(#REF!="Media",#REF!="Catastrófico"),CONCATENATE("R4C",#REF!),"")</f>
        <v>#REF!</v>
      </c>
      <c r="AK29" s="146" t="e">
        <f>IF(AND(#REF!="Media",#REF!="Catastrófico"),CONCATENATE("R4C",#REF!),"")</f>
        <v>#REF!</v>
      </c>
      <c r="AL29" s="146" t="e">
        <f>IF(AND(#REF!="Media",#REF!="Catastrófico"),CONCATENATE("R4C",#REF!),"")</f>
        <v>#REF!</v>
      </c>
      <c r="AM29" s="147" t="e">
        <f>IF(AND(#REF!="Media",#REF!="Catastrófico"),CONCATENATE("R4C",#REF!),"")</f>
        <v>#REF!</v>
      </c>
      <c r="AN29" s="115"/>
      <c r="AO29" s="684"/>
      <c r="AP29" s="670"/>
      <c r="AQ29" s="670"/>
      <c r="AR29" s="670"/>
      <c r="AS29" s="670"/>
      <c r="AT29" s="685"/>
      <c r="AU29" s="115"/>
      <c r="AV29" s="115"/>
      <c r="AW29" s="115"/>
      <c r="AX29" s="115"/>
      <c r="AY29" s="115"/>
      <c r="AZ29" s="115"/>
      <c r="BA29" s="115"/>
      <c r="BB29" s="115"/>
      <c r="BC29" s="115"/>
      <c r="BD29" s="115"/>
      <c r="BE29" s="115"/>
      <c r="BF29" s="115"/>
      <c r="BG29" s="115"/>
      <c r="BH29" s="115"/>
      <c r="BI29" s="115"/>
    </row>
    <row r="30" spans="1:61" ht="15" customHeight="1" x14ac:dyDescent="0.25">
      <c r="A30" s="115"/>
      <c r="B30" s="654"/>
      <c r="C30" s="670"/>
      <c r="D30" s="653"/>
      <c r="E30" s="659"/>
      <c r="F30" s="670"/>
      <c r="G30" s="670"/>
      <c r="H30" s="670"/>
      <c r="I30" s="653"/>
      <c r="J30" s="154" t="e">
        <f>IF(AND(#REF!="Media",#REF!="Leve"),CONCATENATE("R5C",#REF!),"")</f>
        <v>#REF!</v>
      </c>
      <c r="K30" s="155" t="e">
        <f>IF(AND(#REF!="Media",#REF!="Leve"),CONCATENATE("R5C",#REF!),"")</f>
        <v>#REF!</v>
      </c>
      <c r="L30" s="155" t="e">
        <f>IF(AND(#REF!="Media",#REF!="Leve"),CONCATENATE("R5C",#REF!),"")</f>
        <v>#REF!</v>
      </c>
      <c r="M30" s="155" t="e">
        <f>IF(AND(#REF!="Media",#REF!="Leve"),CONCATENATE("R5C",#REF!),"")</f>
        <v>#REF!</v>
      </c>
      <c r="N30" s="155" t="e">
        <f>IF(AND(#REF!="Media",#REF!="Leve"),CONCATENATE("R5C",#REF!),"")</f>
        <v>#REF!</v>
      </c>
      <c r="O30" s="156" t="e">
        <f>IF(AND(#REF!="Media",#REF!="Leve"),CONCATENATE("R5C",#REF!),"")</f>
        <v>#REF!</v>
      </c>
      <c r="P30" s="154" t="e">
        <f>IF(AND(#REF!="Media",#REF!="Menor"),CONCATENATE("R5C",#REF!),"")</f>
        <v>#REF!</v>
      </c>
      <c r="Q30" s="155" t="e">
        <f>IF(AND(#REF!="Media",#REF!="Menor"),CONCATENATE("R5C",#REF!),"")</f>
        <v>#REF!</v>
      </c>
      <c r="R30" s="155" t="e">
        <f>IF(AND(#REF!="Media",#REF!="Menor"),CONCATENATE("R5C",#REF!),"")</f>
        <v>#REF!</v>
      </c>
      <c r="S30" s="155" t="e">
        <f>IF(AND(#REF!="Media",#REF!="Menor"),CONCATENATE("R5C",#REF!),"")</f>
        <v>#REF!</v>
      </c>
      <c r="T30" s="155" t="e">
        <f>IF(AND(#REF!="Media",#REF!="Menor"),CONCATENATE("R5C",#REF!),"")</f>
        <v>#REF!</v>
      </c>
      <c r="U30" s="156" t="e">
        <f>IF(AND(#REF!="Media",#REF!="Menor"),CONCATENATE("R5C",#REF!),"")</f>
        <v>#REF!</v>
      </c>
      <c r="V30" s="154" t="e">
        <f>IF(AND(#REF!="Media",#REF!="Moderado"),CONCATENATE("R5C",#REF!),"")</f>
        <v>#REF!</v>
      </c>
      <c r="W30" s="155" t="e">
        <f>IF(AND(#REF!="Media",#REF!="Moderado"),CONCATENATE("R5C",#REF!),"")</f>
        <v>#REF!</v>
      </c>
      <c r="X30" s="155" t="e">
        <f>IF(AND(#REF!="Media",#REF!="Moderado"),CONCATENATE("R5C",#REF!),"")</f>
        <v>#REF!</v>
      </c>
      <c r="Y30" s="155" t="e">
        <f>IF(AND(#REF!="Media",#REF!="Moderado"),CONCATENATE("R5C",#REF!),"")</f>
        <v>#REF!</v>
      </c>
      <c r="Z30" s="155" t="e">
        <f>IF(AND(#REF!="Media",#REF!="Moderado"),CONCATENATE("R5C",#REF!),"")</f>
        <v>#REF!</v>
      </c>
      <c r="AA30" s="156" t="e">
        <f>IF(AND(#REF!="Media",#REF!="Moderado"),CONCATENATE("R5C",#REF!),"")</f>
        <v>#REF!</v>
      </c>
      <c r="AB30" s="142" t="e">
        <f>IF(AND(#REF!="Media",#REF!="Mayor"),CONCATENATE("R5C",#REF!),"")</f>
        <v>#REF!</v>
      </c>
      <c r="AC30" s="143" t="e">
        <f>IF(AND(#REF!="Media",#REF!="Mayor"),CONCATENATE("R5C",#REF!),"")</f>
        <v>#REF!</v>
      </c>
      <c r="AD30" s="143" t="e">
        <f>IF(AND(#REF!="Media",#REF!="Mayor"),CONCATENATE("R5C",#REF!),"")</f>
        <v>#REF!</v>
      </c>
      <c r="AE30" s="143" t="e">
        <f>IF(AND(#REF!="Media",#REF!="Mayor"),CONCATENATE("R5C",#REF!),"")</f>
        <v>#REF!</v>
      </c>
      <c r="AF30" s="143" t="e">
        <f>IF(AND(#REF!="Media",#REF!="Mayor"),CONCATENATE("R5C",#REF!),"")</f>
        <v>#REF!</v>
      </c>
      <c r="AG30" s="144" t="e">
        <f>IF(AND(#REF!="Media",#REF!="Mayor"),CONCATENATE("R5C",#REF!),"")</f>
        <v>#REF!</v>
      </c>
      <c r="AH30" s="145" t="e">
        <f>IF(AND(#REF!="Media",#REF!="Catastrófico"),CONCATENATE("R5C",#REF!),"")</f>
        <v>#REF!</v>
      </c>
      <c r="AI30" s="146" t="e">
        <f>IF(AND(#REF!="Media",#REF!="Catastrófico"),CONCATENATE("R5C",#REF!),"")</f>
        <v>#REF!</v>
      </c>
      <c r="AJ30" s="146" t="e">
        <f>IF(AND(#REF!="Media",#REF!="Catastrófico"),CONCATENATE("R5C",#REF!),"")</f>
        <v>#REF!</v>
      </c>
      <c r="AK30" s="146" t="e">
        <f>IF(AND(#REF!="Media",#REF!="Catastrófico"),CONCATENATE("R5C",#REF!),"")</f>
        <v>#REF!</v>
      </c>
      <c r="AL30" s="146" t="e">
        <f>IF(AND(#REF!="Media",#REF!="Catastrófico"),CONCATENATE("R5C",#REF!),"")</f>
        <v>#REF!</v>
      </c>
      <c r="AM30" s="147" t="e">
        <f>IF(AND(#REF!="Media",#REF!="Catastrófico"),CONCATENATE("R5C",#REF!),"")</f>
        <v>#REF!</v>
      </c>
      <c r="AN30" s="115"/>
      <c r="AO30" s="684"/>
      <c r="AP30" s="670"/>
      <c r="AQ30" s="670"/>
      <c r="AR30" s="670"/>
      <c r="AS30" s="670"/>
      <c r="AT30" s="685"/>
      <c r="AU30" s="115"/>
      <c r="AV30" s="115"/>
      <c r="AW30" s="115"/>
      <c r="AX30" s="115"/>
      <c r="AY30" s="115"/>
      <c r="AZ30" s="115"/>
      <c r="BA30" s="115"/>
      <c r="BB30" s="115"/>
      <c r="BC30" s="115"/>
      <c r="BD30" s="115"/>
      <c r="BE30" s="115"/>
      <c r="BF30" s="115"/>
      <c r="BG30" s="115"/>
      <c r="BH30" s="115"/>
      <c r="BI30" s="115"/>
    </row>
    <row r="31" spans="1:61" ht="15" customHeight="1" x14ac:dyDescent="0.25">
      <c r="A31" s="115"/>
      <c r="B31" s="654"/>
      <c r="C31" s="670"/>
      <c r="D31" s="653"/>
      <c r="E31" s="659"/>
      <c r="F31" s="670"/>
      <c r="G31" s="670"/>
      <c r="H31" s="670"/>
      <c r="I31" s="653"/>
      <c r="J31" s="154" t="e">
        <f>IF(AND(#REF!="Media",#REF!="Leve"),CONCATENATE("R6C",#REF!),"")</f>
        <v>#REF!</v>
      </c>
      <c r="K31" s="155" t="e">
        <f>IF(AND(#REF!="Media",#REF!="Leve"),CONCATENATE("R6C",#REF!),"")</f>
        <v>#REF!</v>
      </c>
      <c r="L31" s="155" t="e">
        <f>IF(AND(#REF!="Media",#REF!="Leve"),CONCATENATE("R6C",#REF!),"")</f>
        <v>#REF!</v>
      </c>
      <c r="M31" s="155" t="e">
        <f>IF(AND(#REF!="Media",#REF!="Leve"),CONCATENATE("R6C",#REF!),"")</f>
        <v>#REF!</v>
      </c>
      <c r="N31" s="155" t="e">
        <f>IF(AND(#REF!="Media",#REF!="Leve"),CONCATENATE("R6C",#REF!),"")</f>
        <v>#REF!</v>
      </c>
      <c r="O31" s="156" t="e">
        <f>IF(AND(#REF!="Media",#REF!="Leve"),CONCATENATE("R6C",#REF!),"")</f>
        <v>#REF!</v>
      </c>
      <c r="P31" s="154" t="e">
        <f>IF(AND(#REF!="Media",#REF!="Menor"),CONCATENATE("R6C",#REF!),"")</f>
        <v>#REF!</v>
      </c>
      <c r="Q31" s="155" t="e">
        <f>IF(AND(#REF!="Media",#REF!="Menor"),CONCATENATE("R6C",#REF!),"")</f>
        <v>#REF!</v>
      </c>
      <c r="R31" s="155" t="e">
        <f>IF(AND(#REF!="Media",#REF!="Menor"),CONCATENATE("R6C",#REF!),"")</f>
        <v>#REF!</v>
      </c>
      <c r="S31" s="155" t="e">
        <f>IF(AND(#REF!="Media",#REF!="Menor"),CONCATENATE("R6C",#REF!),"")</f>
        <v>#REF!</v>
      </c>
      <c r="T31" s="155" t="e">
        <f>IF(AND(#REF!="Media",#REF!="Menor"),CONCATENATE("R6C",#REF!),"")</f>
        <v>#REF!</v>
      </c>
      <c r="U31" s="156" t="e">
        <f>IF(AND(#REF!="Media",#REF!="Menor"),CONCATENATE("R6C",#REF!),"")</f>
        <v>#REF!</v>
      </c>
      <c r="V31" s="154" t="e">
        <f>IF(AND(#REF!="Media",#REF!="Moderado"),CONCATENATE("R6C",#REF!),"")</f>
        <v>#REF!</v>
      </c>
      <c r="W31" s="155" t="e">
        <f>IF(AND(#REF!="Media",#REF!="Moderado"),CONCATENATE("R6C",#REF!),"")</f>
        <v>#REF!</v>
      </c>
      <c r="X31" s="155" t="e">
        <f>IF(AND(#REF!="Media",#REF!="Moderado"),CONCATENATE("R6C",#REF!),"")</f>
        <v>#REF!</v>
      </c>
      <c r="Y31" s="155" t="e">
        <f>IF(AND(#REF!="Media",#REF!="Moderado"),CONCATENATE("R6C",#REF!),"")</f>
        <v>#REF!</v>
      </c>
      <c r="Z31" s="155" t="e">
        <f>IF(AND(#REF!="Media",#REF!="Moderado"),CONCATENATE("R6C",#REF!),"")</f>
        <v>#REF!</v>
      </c>
      <c r="AA31" s="156" t="e">
        <f>IF(AND(#REF!="Media",#REF!="Moderado"),CONCATENATE("R6C",#REF!),"")</f>
        <v>#REF!</v>
      </c>
      <c r="AB31" s="142" t="e">
        <f>IF(AND(#REF!="Media",#REF!="Mayor"),CONCATENATE("R6C",#REF!),"")</f>
        <v>#REF!</v>
      </c>
      <c r="AC31" s="143" t="e">
        <f>IF(AND(#REF!="Media",#REF!="Mayor"),CONCATENATE("R6C",#REF!),"")</f>
        <v>#REF!</v>
      </c>
      <c r="AD31" s="143" t="e">
        <f>IF(AND(#REF!="Media",#REF!="Mayor"),CONCATENATE("R6C",#REF!),"")</f>
        <v>#REF!</v>
      </c>
      <c r="AE31" s="143" t="e">
        <f>IF(AND(#REF!="Media",#REF!="Mayor"),CONCATENATE("R6C",#REF!),"")</f>
        <v>#REF!</v>
      </c>
      <c r="AF31" s="143" t="e">
        <f>IF(AND(#REF!="Media",#REF!="Mayor"),CONCATENATE("R6C",#REF!),"")</f>
        <v>#REF!</v>
      </c>
      <c r="AG31" s="144" t="e">
        <f>IF(AND(#REF!="Media",#REF!="Mayor"),CONCATENATE("R6C",#REF!),"")</f>
        <v>#REF!</v>
      </c>
      <c r="AH31" s="145" t="e">
        <f>IF(AND(#REF!="Media",#REF!="Catastrófico"),CONCATENATE("R6C",#REF!),"")</f>
        <v>#REF!</v>
      </c>
      <c r="AI31" s="146" t="e">
        <f>IF(AND(#REF!="Media",#REF!="Catastrófico"),CONCATENATE("R6C",#REF!),"")</f>
        <v>#REF!</v>
      </c>
      <c r="AJ31" s="146" t="e">
        <f>IF(AND(#REF!="Media",#REF!="Catastrófico"),CONCATENATE("R6C",#REF!),"")</f>
        <v>#REF!</v>
      </c>
      <c r="AK31" s="146" t="e">
        <f>IF(AND(#REF!="Media",#REF!="Catastrófico"),CONCATENATE("R6C",#REF!),"")</f>
        <v>#REF!</v>
      </c>
      <c r="AL31" s="146" t="e">
        <f>IF(AND(#REF!="Media",#REF!="Catastrófico"),CONCATENATE("R6C",#REF!),"")</f>
        <v>#REF!</v>
      </c>
      <c r="AM31" s="147" t="e">
        <f>IF(AND(#REF!="Media",#REF!="Catastrófico"),CONCATENATE("R6C",#REF!),"")</f>
        <v>#REF!</v>
      </c>
      <c r="AN31" s="115"/>
      <c r="AO31" s="684"/>
      <c r="AP31" s="670"/>
      <c r="AQ31" s="670"/>
      <c r="AR31" s="670"/>
      <c r="AS31" s="670"/>
      <c r="AT31" s="685"/>
      <c r="AU31" s="115"/>
      <c r="AV31" s="115"/>
      <c r="AW31" s="115"/>
      <c r="AX31" s="115"/>
      <c r="AY31" s="115"/>
      <c r="AZ31" s="115"/>
      <c r="BA31" s="115"/>
      <c r="BB31" s="115"/>
      <c r="BC31" s="115"/>
      <c r="BD31" s="115"/>
      <c r="BE31" s="115"/>
      <c r="BF31" s="115"/>
      <c r="BG31" s="115"/>
      <c r="BH31" s="115"/>
      <c r="BI31" s="115"/>
    </row>
    <row r="32" spans="1:61" ht="15" customHeight="1" x14ac:dyDescent="0.25">
      <c r="A32" s="115"/>
      <c r="B32" s="654"/>
      <c r="C32" s="670"/>
      <c r="D32" s="653"/>
      <c r="E32" s="659"/>
      <c r="F32" s="670"/>
      <c r="G32" s="670"/>
      <c r="H32" s="670"/>
      <c r="I32" s="653"/>
      <c r="J32" s="154" t="e">
        <f>IF(AND(#REF!="Media",#REF!="Leve"),CONCATENATE("R7C",#REF!),"")</f>
        <v>#REF!</v>
      </c>
      <c r="K32" s="155" t="e">
        <f>IF(AND(#REF!="Media",#REF!="Leve"),CONCATENATE("R7C",#REF!),"")</f>
        <v>#REF!</v>
      </c>
      <c r="L32" s="155" t="e">
        <f>IF(AND(#REF!="Media",#REF!="Leve"),CONCATENATE("R7C",#REF!),"")</f>
        <v>#REF!</v>
      </c>
      <c r="M32" s="155" t="e">
        <f>IF(AND(#REF!="Media",#REF!="Leve"),CONCATENATE("R7C",#REF!),"")</f>
        <v>#REF!</v>
      </c>
      <c r="N32" s="155" t="e">
        <f>IF(AND(#REF!="Media",#REF!="Leve"),CONCATENATE("R7C",#REF!),"")</f>
        <v>#REF!</v>
      </c>
      <c r="O32" s="156" t="e">
        <f>IF(AND(#REF!="Media",#REF!="Leve"),CONCATENATE("R7C",#REF!),"")</f>
        <v>#REF!</v>
      </c>
      <c r="P32" s="154" t="e">
        <f>IF(AND(#REF!="Media",#REF!="Menor"),CONCATENATE("R7C",#REF!),"")</f>
        <v>#REF!</v>
      </c>
      <c r="Q32" s="155" t="e">
        <f>IF(AND(#REF!="Media",#REF!="Menor"),CONCATENATE("R7C",#REF!),"")</f>
        <v>#REF!</v>
      </c>
      <c r="R32" s="155" t="e">
        <f>IF(AND(#REF!="Media",#REF!="Menor"),CONCATENATE("R7C",#REF!),"")</f>
        <v>#REF!</v>
      </c>
      <c r="S32" s="155" t="e">
        <f>IF(AND(#REF!="Media",#REF!="Menor"),CONCATENATE("R7C",#REF!),"")</f>
        <v>#REF!</v>
      </c>
      <c r="T32" s="155" t="e">
        <f>IF(AND(#REF!="Media",#REF!="Menor"),CONCATENATE("R7C",#REF!),"")</f>
        <v>#REF!</v>
      </c>
      <c r="U32" s="156" t="e">
        <f>IF(AND(#REF!="Media",#REF!="Menor"),CONCATENATE("R7C",#REF!),"")</f>
        <v>#REF!</v>
      </c>
      <c r="V32" s="154" t="e">
        <f>IF(AND(#REF!="Media",#REF!="Moderado"),CONCATENATE("R7C",#REF!),"")</f>
        <v>#REF!</v>
      </c>
      <c r="W32" s="155" t="e">
        <f>IF(AND(#REF!="Media",#REF!="Moderado"),CONCATENATE("R7C",#REF!),"")</f>
        <v>#REF!</v>
      </c>
      <c r="X32" s="155" t="e">
        <f>IF(AND(#REF!="Media",#REF!="Moderado"),CONCATENATE("R7C",#REF!),"")</f>
        <v>#REF!</v>
      </c>
      <c r="Y32" s="155" t="e">
        <f>IF(AND(#REF!="Media",#REF!="Moderado"),CONCATENATE("R7C",#REF!),"")</f>
        <v>#REF!</v>
      </c>
      <c r="Z32" s="155" t="e">
        <f>IF(AND(#REF!="Media",#REF!="Moderado"),CONCATENATE("R7C",#REF!),"")</f>
        <v>#REF!</v>
      </c>
      <c r="AA32" s="156" t="e">
        <f>IF(AND(#REF!="Media",#REF!="Moderado"),CONCATENATE("R7C",#REF!),"")</f>
        <v>#REF!</v>
      </c>
      <c r="AB32" s="142" t="e">
        <f>IF(AND(#REF!="Media",#REF!="Mayor"),CONCATENATE("R7C",#REF!),"")</f>
        <v>#REF!</v>
      </c>
      <c r="AC32" s="143" t="e">
        <f>IF(AND(#REF!="Media",#REF!="Mayor"),CONCATENATE("R7C",#REF!),"")</f>
        <v>#REF!</v>
      </c>
      <c r="AD32" s="143" t="e">
        <f>IF(AND(#REF!="Media",#REF!="Mayor"),CONCATENATE("R7C",#REF!),"")</f>
        <v>#REF!</v>
      </c>
      <c r="AE32" s="143" t="e">
        <f>IF(AND(#REF!="Media",#REF!="Mayor"),CONCATENATE("R7C",#REF!),"")</f>
        <v>#REF!</v>
      </c>
      <c r="AF32" s="143" t="e">
        <f>IF(AND(#REF!="Media",#REF!="Mayor"),CONCATENATE("R7C",#REF!),"")</f>
        <v>#REF!</v>
      </c>
      <c r="AG32" s="144" t="e">
        <f>IF(AND(#REF!="Media",#REF!="Mayor"),CONCATENATE("R7C",#REF!),"")</f>
        <v>#REF!</v>
      </c>
      <c r="AH32" s="145" t="e">
        <f>IF(AND(#REF!="Media",#REF!="Catastrófico"),CONCATENATE("R7C",#REF!),"")</f>
        <v>#REF!</v>
      </c>
      <c r="AI32" s="146" t="e">
        <f>IF(AND(#REF!="Media",#REF!="Catastrófico"),CONCATENATE("R7C",#REF!),"")</f>
        <v>#REF!</v>
      </c>
      <c r="AJ32" s="146" t="e">
        <f>IF(AND(#REF!="Media",#REF!="Catastrófico"),CONCATENATE("R7C",#REF!),"")</f>
        <v>#REF!</v>
      </c>
      <c r="AK32" s="146" t="e">
        <f>IF(AND(#REF!="Media",#REF!="Catastrófico"),CONCATENATE("R7C",#REF!),"")</f>
        <v>#REF!</v>
      </c>
      <c r="AL32" s="146" t="e">
        <f>IF(AND(#REF!="Media",#REF!="Catastrófico"),CONCATENATE("R7C",#REF!),"")</f>
        <v>#REF!</v>
      </c>
      <c r="AM32" s="147" t="e">
        <f>IF(AND(#REF!="Media",#REF!="Catastrófico"),CONCATENATE("R7C",#REF!),"")</f>
        <v>#REF!</v>
      </c>
      <c r="AN32" s="115"/>
      <c r="AO32" s="684"/>
      <c r="AP32" s="670"/>
      <c r="AQ32" s="670"/>
      <c r="AR32" s="670"/>
      <c r="AS32" s="670"/>
      <c r="AT32" s="685"/>
      <c r="AU32" s="115"/>
      <c r="AV32" s="115"/>
      <c r="AW32" s="115"/>
      <c r="AX32" s="115"/>
      <c r="AY32" s="115"/>
      <c r="AZ32" s="115"/>
      <c r="BA32" s="115"/>
      <c r="BB32" s="115"/>
      <c r="BC32" s="115"/>
      <c r="BD32" s="115"/>
      <c r="BE32" s="115"/>
      <c r="BF32" s="115"/>
      <c r="BG32" s="115"/>
      <c r="BH32" s="115"/>
      <c r="BI32" s="115"/>
    </row>
    <row r="33" spans="1:61" ht="15" customHeight="1" x14ac:dyDescent="0.25">
      <c r="A33" s="115"/>
      <c r="B33" s="654"/>
      <c r="C33" s="670"/>
      <c r="D33" s="653"/>
      <c r="E33" s="659"/>
      <c r="F33" s="670"/>
      <c r="G33" s="670"/>
      <c r="H33" s="670"/>
      <c r="I33" s="653"/>
      <c r="J33" s="154" t="e">
        <f>IF(AND(#REF!="Media",#REF!="Leve"),CONCATENATE("R8C",#REF!),"")</f>
        <v>#REF!</v>
      </c>
      <c r="K33" s="155" t="e">
        <f>IF(AND(#REF!="Media",#REF!="Leve"),CONCATENATE("R8C",#REF!),"")</f>
        <v>#REF!</v>
      </c>
      <c r="L33" s="155" t="e">
        <f>IF(AND(#REF!="Media",#REF!="Leve"),CONCATENATE("R8C",#REF!),"")</f>
        <v>#REF!</v>
      </c>
      <c r="M33" s="155" t="e">
        <f>IF(AND(#REF!="Media",#REF!="Leve"),CONCATENATE("R8C",#REF!),"")</f>
        <v>#REF!</v>
      </c>
      <c r="N33" s="155" t="e">
        <f>IF(AND(#REF!="Media",#REF!="Leve"),CONCATENATE("R8C",#REF!),"")</f>
        <v>#REF!</v>
      </c>
      <c r="O33" s="156" t="e">
        <f>IF(AND(#REF!="Media",#REF!="Leve"),CONCATENATE("R8C",#REF!),"")</f>
        <v>#REF!</v>
      </c>
      <c r="P33" s="154" t="e">
        <f>IF(AND(#REF!="Media",#REF!="Menor"),CONCATENATE("R8C",#REF!),"")</f>
        <v>#REF!</v>
      </c>
      <c r="Q33" s="155" t="e">
        <f>IF(AND(#REF!="Media",#REF!="Menor"),CONCATENATE("R8C",#REF!),"")</f>
        <v>#REF!</v>
      </c>
      <c r="R33" s="155" t="e">
        <f>IF(AND(#REF!="Media",#REF!="Menor"),CONCATENATE("R8C",#REF!),"")</f>
        <v>#REF!</v>
      </c>
      <c r="S33" s="155" t="e">
        <f>IF(AND(#REF!="Media",#REF!="Menor"),CONCATENATE("R8C",#REF!),"")</f>
        <v>#REF!</v>
      </c>
      <c r="T33" s="155" t="e">
        <f>IF(AND(#REF!="Media",#REF!="Menor"),CONCATENATE("R8C",#REF!),"")</f>
        <v>#REF!</v>
      </c>
      <c r="U33" s="156" t="e">
        <f>IF(AND(#REF!="Media",#REF!="Menor"),CONCATENATE("R8C",#REF!),"")</f>
        <v>#REF!</v>
      </c>
      <c r="V33" s="154" t="e">
        <f>IF(AND(#REF!="Media",#REF!="Moderado"),CONCATENATE("R8C",#REF!),"")</f>
        <v>#REF!</v>
      </c>
      <c r="W33" s="155" t="e">
        <f>IF(AND(#REF!="Media",#REF!="Moderado"),CONCATENATE("R8C",#REF!),"")</f>
        <v>#REF!</v>
      </c>
      <c r="X33" s="155" t="e">
        <f>IF(AND(#REF!="Media",#REF!="Moderado"),CONCATENATE("R8C",#REF!),"")</f>
        <v>#REF!</v>
      </c>
      <c r="Y33" s="155" t="e">
        <f>IF(AND(#REF!="Media",#REF!="Moderado"),CONCATENATE("R8C",#REF!),"")</f>
        <v>#REF!</v>
      </c>
      <c r="Z33" s="155" t="e">
        <f>IF(AND(#REF!="Media",#REF!="Moderado"),CONCATENATE("R8C",#REF!),"")</f>
        <v>#REF!</v>
      </c>
      <c r="AA33" s="156" t="e">
        <f>IF(AND(#REF!="Media",#REF!="Moderado"),CONCATENATE("R8C",#REF!),"")</f>
        <v>#REF!</v>
      </c>
      <c r="AB33" s="142" t="e">
        <f>IF(AND(#REF!="Media",#REF!="Mayor"),CONCATENATE("R8C",#REF!),"")</f>
        <v>#REF!</v>
      </c>
      <c r="AC33" s="143" t="e">
        <f>IF(AND(#REF!="Media",#REF!="Mayor"),CONCATENATE("R8C",#REF!),"")</f>
        <v>#REF!</v>
      </c>
      <c r="AD33" s="143" t="e">
        <f>IF(AND(#REF!="Media",#REF!="Mayor"),CONCATENATE("R8C",#REF!),"")</f>
        <v>#REF!</v>
      </c>
      <c r="AE33" s="143" t="e">
        <f>IF(AND(#REF!="Media",#REF!="Mayor"),CONCATENATE("R8C",#REF!),"")</f>
        <v>#REF!</v>
      </c>
      <c r="AF33" s="143" t="e">
        <f>IF(AND(#REF!="Media",#REF!="Mayor"),CONCATENATE("R8C",#REF!),"")</f>
        <v>#REF!</v>
      </c>
      <c r="AG33" s="144" t="e">
        <f>IF(AND(#REF!="Media",#REF!="Mayor"),CONCATENATE("R8C",#REF!),"")</f>
        <v>#REF!</v>
      </c>
      <c r="AH33" s="145" t="e">
        <f>IF(AND(#REF!="Media",#REF!="Catastrófico"),CONCATENATE("R8C",#REF!),"")</f>
        <v>#REF!</v>
      </c>
      <c r="AI33" s="146" t="e">
        <f>IF(AND(#REF!="Media",#REF!="Catastrófico"),CONCATENATE("R8C",#REF!),"")</f>
        <v>#REF!</v>
      </c>
      <c r="AJ33" s="146" t="e">
        <f>IF(AND(#REF!="Media",#REF!="Catastrófico"),CONCATENATE("R8C",#REF!),"")</f>
        <v>#REF!</v>
      </c>
      <c r="AK33" s="146" t="e">
        <f>IF(AND(#REF!="Media",#REF!="Catastrófico"),CONCATENATE("R8C",#REF!),"")</f>
        <v>#REF!</v>
      </c>
      <c r="AL33" s="146" t="e">
        <f>IF(AND(#REF!="Media",#REF!="Catastrófico"),CONCATENATE("R8C",#REF!),"")</f>
        <v>#REF!</v>
      </c>
      <c r="AM33" s="147" t="e">
        <f>IF(AND(#REF!="Media",#REF!="Catastrófico"),CONCATENATE("R8C",#REF!),"")</f>
        <v>#REF!</v>
      </c>
      <c r="AN33" s="115"/>
      <c r="AO33" s="684"/>
      <c r="AP33" s="670"/>
      <c r="AQ33" s="670"/>
      <c r="AR33" s="670"/>
      <c r="AS33" s="670"/>
      <c r="AT33" s="685"/>
      <c r="AU33" s="115"/>
      <c r="AV33" s="115"/>
      <c r="AW33" s="115"/>
      <c r="AX33" s="115"/>
      <c r="AY33" s="115"/>
      <c r="AZ33" s="115"/>
      <c r="BA33" s="115"/>
      <c r="BB33" s="115"/>
      <c r="BC33" s="115"/>
      <c r="BD33" s="115"/>
      <c r="BE33" s="115"/>
      <c r="BF33" s="115"/>
      <c r="BG33" s="115"/>
      <c r="BH33" s="115"/>
      <c r="BI33" s="115"/>
    </row>
    <row r="34" spans="1:61" ht="15" customHeight="1" x14ac:dyDescent="0.25">
      <c r="A34" s="115"/>
      <c r="B34" s="654"/>
      <c r="C34" s="670"/>
      <c r="D34" s="653"/>
      <c r="E34" s="659"/>
      <c r="F34" s="670"/>
      <c r="G34" s="670"/>
      <c r="H34" s="670"/>
      <c r="I34" s="653"/>
      <c r="J34" s="154" t="e">
        <f>IF(AND(#REF!="Media",#REF!="Leve"),CONCATENATE("R9C",#REF!),"")</f>
        <v>#REF!</v>
      </c>
      <c r="K34" s="155" t="e">
        <f>IF(AND(#REF!="Media",#REF!="Leve"),CONCATENATE("R9C",#REF!),"")</f>
        <v>#REF!</v>
      </c>
      <c r="L34" s="155" t="e">
        <f>IF(AND(#REF!="Media",#REF!="Leve"),CONCATENATE("R9C",#REF!),"")</f>
        <v>#REF!</v>
      </c>
      <c r="M34" s="155" t="e">
        <f>IF(AND(#REF!="Media",#REF!="Leve"),CONCATENATE("R9C",#REF!),"")</f>
        <v>#REF!</v>
      </c>
      <c r="N34" s="155" t="e">
        <f>IF(AND(#REF!="Media",#REF!="Leve"),CONCATENATE("R9C",#REF!),"")</f>
        <v>#REF!</v>
      </c>
      <c r="O34" s="156" t="e">
        <f>IF(AND(#REF!="Media",#REF!="Leve"),CONCATENATE("R9C",#REF!),"")</f>
        <v>#REF!</v>
      </c>
      <c r="P34" s="154" t="e">
        <f>IF(AND(#REF!="Media",#REF!="Menor"),CONCATENATE("R9C",#REF!),"")</f>
        <v>#REF!</v>
      </c>
      <c r="Q34" s="155" t="e">
        <f>IF(AND(#REF!="Media",#REF!="Menor"),CONCATENATE("R9C",#REF!),"")</f>
        <v>#REF!</v>
      </c>
      <c r="R34" s="155" t="e">
        <f>IF(AND(#REF!="Media",#REF!="Menor"),CONCATENATE("R9C",#REF!),"")</f>
        <v>#REF!</v>
      </c>
      <c r="S34" s="155" t="e">
        <f>IF(AND(#REF!="Media",#REF!="Menor"),CONCATENATE("R9C",#REF!),"")</f>
        <v>#REF!</v>
      </c>
      <c r="T34" s="155" t="e">
        <f>IF(AND(#REF!="Media",#REF!="Menor"),CONCATENATE("R9C",#REF!),"")</f>
        <v>#REF!</v>
      </c>
      <c r="U34" s="156" t="e">
        <f>IF(AND(#REF!="Media",#REF!="Menor"),CONCATENATE("R9C",#REF!),"")</f>
        <v>#REF!</v>
      </c>
      <c r="V34" s="154" t="e">
        <f>IF(AND(#REF!="Media",#REF!="Moderado"),CONCATENATE("R9C",#REF!),"")</f>
        <v>#REF!</v>
      </c>
      <c r="W34" s="155" t="e">
        <f>IF(AND(#REF!="Media",#REF!="Moderado"),CONCATENATE("R9C",#REF!),"")</f>
        <v>#REF!</v>
      </c>
      <c r="X34" s="155" t="e">
        <f>IF(AND(#REF!="Media",#REF!="Moderado"),CONCATENATE("R9C",#REF!),"")</f>
        <v>#REF!</v>
      </c>
      <c r="Y34" s="155" t="e">
        <f>IF(AND(#REF!="Media",#REF!="Moderado"),CONCATENATE("R9C",#REF!),"")</f>
        <v>#REF!</v>
      </c>
      <c r="Z34" s="155" t="e">
        <f>IF(AND(#REF!="Media",#REF!="Moderado"),CONCATENATE("R9C",#REF!),"")</f>
        <v>#REF!</v>
      </c>
      <c r="AA34" s="156" t="e">
        <f>IF(AND(#REF!="Media",#REF!="Moderado"),CONCATENATE("R9C",#REF!),"")</f>
        <v>#REF!</v>
      </c>
      <c r="AB34" s="142" t="e">
        <f>IF(AND(#REF!="Media",#REF!="Mayor"),CONCATENATE("R9C",#REF!),"")</f>
        <v>#REF!</v>
      </c>
      <c r="AC34" s="143" t="e">
        <f>IF(AND(#REF!="Media",#REF!="Mayor"),CONCATENATE("R9C",#REF!),"")</f>
        <v>#REF!</v>
      </c>
      <c r="AD34" s="143" t="e">
        <f>IF(AND(#REF!="Media",#REF!="Mayor"),CONCATENATE("R9C",#REF!),"")</f>
        <v>#REF!</v>
      </c>
      <c r="AE34" s="143" t="e">
        <f>IF(AND(#REF!="Media",#REF!="Mayor"),CONCATENATE("R9C",#REF!),"")</f>
        <v>#REF!</v>
      </c>
      <c r="AF34" s="143" t="e">
        <f>IF(AND(#REF!="Media",#REF!="Mayor"),CONCATENATE("R9C",#REF!),"")</f>
        <v>#REF!</v>
      </c>
      <c r="AG34" s="144" t="e">
        <f>IF(AND(#REF!="Media",#REF!="Mayor"),CONCATENATE("R9C",#REF!),"")</f>
        <v>#REF!</v>
      </c>
      <c r="AH34" s="145" t="e">
        <f>IF(AND(#REF!="Media",#REF!="Catastrófico"),CONCATENATE("R9C",#REF!),"")</f>
        <v>#REF!</v>
      </c>
      <c r="AI34" s="146" t="e">
        <f>IF(AND(#REF!="Media",#REF!="Catastrófico"),CONCATENATE("R9C",#REF!),"")</f>
        <v>#REF!</v>
      </c>
      <c r="AJ34" s="146" t="e">
        <f>IF(AND(#REF!="Media",#REF!="Catastrófico"),CONCATENATE("R9C",#REF!),"")</f>
        <v>#REF!</v>
      </c>
      <c r="AK34" s="146" t="e">
        <f>IF(AND(#REF!="Media",#REF!="Catastrófico"),CONCATENATE("R9C",#REF!),"")</f>
        <v>#REF!</v>
      </c>
      <c r="AL34" s="146" t="e">
        <f>IF(AND(#REF!="Media",#REF!="Catastrófico"),CONCATENATE("R9C",#REF!),"")</f>
        <v>#REF!</v>
      </c>
      <c r="AM34" s="147" t="e">
        <f>IF(AND(#REF!="Media",#REF!="Catastrófico"),CONCATENATE("R9C",#REF!),"")</f>
        <v>#REF!</v>
      </c>
      <c r="AN34" s="115"/>
      <c r="AO34" s="684"/>
      <c r="AP34" s="670"/>
      <c r="AQ34" s="670"/>
      <c r="AR34" s="670"/>
      <c r="AS34" s="670"/>
      <c r="AT34" s="685"/>
      <c r="AU34" s="115"/>
      <c r="AV34" s="115"/>
      <c r="AW34" s="115"/>
      <c r="AX34" s="115"/>
      <c r="AY34" s="115"/>
      <c r="AZ34" s="115"/>
      <c r="BA34" s="115"/>
      <c r="BB34" s="115"/>
      <c r="BC34" s="115"/>
      <c r="BD34" s="115"/>
      <c r="BE34" s="115"/>
      <c r="BF34" s="115"/>
      <c r="BG34" s="115"/>
      <c r="BH34" s="115"/>
      <c r="BI34" s="115"/>
    </row>
    <row r="35" spans="1:61" ht="15.75" customHeight="1" thickBot="1" x14ac:dyDescent="0.3">
      <c r="A35" s="115"/>
      <c r="B35" s="654"/>
      <c r="C35" s="670"/>
      <c r="D35" s="653"/>
      <c r="E35" s="671"/>
      <c r="F35" s="672"/>
      <c r="G35" s="672"/>
      <c r="H35" s="672"/>
      <c r="I35" s="673"/>
      <c r="J35" s="154" t="e">
        <f>IF(AND(#REF!="Media",#REF!="Leve"),CONCATENATE("R10C",#REF!),"")</f>
        <v>#REF!</v>
      </c>
      <c r="K35" s="155" t="e">
        <f>IF(AND(#REF!="Media",#REF!="Leve"),CONCATENATE("R10C",#REF!),"")</f>
        <v>#REF!</v>
      </c>
      <c r="L35" s="155" t="e">
        <f>IF(AND(#REF!="Media",#REF!="Leve"),CONCATENATE("R10C",#REF!),"")</f>
        <v>#REF!</v>
      </c>
      <c r="M35" s="155" t="e">
        <f>IF(AND(#REF!="Media",#REF!="Leve"),CONCATENATE("R10C",#REF!),"")</f>
        <v>#REF!</v>
      </c>
      <c r="N35" s="155" t="e">
        <f>IF(AND(#REF!="Media",#REF!="Leve"),CONCATENATE("R10C",#REF!),"")</f>
        <v>#REF!</v>
      </c>
      <c r="O35" s="156" t="e">
        <f>IF(AND(#REF!="Media",#REF!="Leve"),CONCATENATE("R10C",#REF!),"")</f>
        <v>#REF!</v>
      </c>
      <c r="P35" s="154" t="e">
        <f>IF(AND(#REF!="Media",#REF!="Menor"),CONCATENATE("R10C",#REF!),"")</f>
        <v>#REF!</v>
      </c>
      <c r="Q35" s="155" t="e">
        <f>IF(AND(#REF!="Media",#REF!="Menor"),CONCATENATE("R10C",#REF!),"")</f>
        <v>#REF!</v>
      </c>
      <c r="R35" s="155" t="e">
        <f>IF(AND(#REF!="Media",#REF!="Menor"),CONCATENATE("R10C",#REF!),"")</f>
        <v>#REF!</v>
      </c>
      <c r="S35" s="155" t="e">
        <f>IF(AND(#REF!="Media",#REF!="Menor"),CONCATENATE("R10C",#REF!),"")</f>
        <v>#REF!</v>
      </c>
      <c r="T35" s="155" t="e">
        <f>IF(AND(#REF!="Media",#REF!="Menor"),CONCATENATE("R10C",#REF!),"")</f>
        <v>#REF!</v>
      </c>
      <c r="U35" s="156" t="e">
        <f>IF(AND(#REF!="Media",#REF!="Menor"),CONCATENATE("R10C",#REF!),"")</f>
        <v>#REF!</v>
      </c>
      <c r="V35" s="154" t="e">
        <f>IF(AND(#REF!="Media",#REF!="Moderado"),CONCATENATE("R10C",#REF!),"")</f>
        <v>#REF!</v>
      </c>
      <c r="W35" s="155" t="e">
        <f>IF(AND(#REF!="Media",#REF!="Moderado"),CONCATENATE("R10C",#REF!),"")</f>
        <v>#REF!</v>
      </c>
      <c r="X35" s="155" t="e">
        <f>IF(AND(#REF!="Media",#REF!="Moderado"),CONCATENATE("R10C",#REF!),"")</f>
        <v>#REF!</v>
      </c>
      <c r="Y35" s="155" t="e">
        <f>IF(AND(#REF!="Media",#REF!="Moderado"),CONCATENATE("R10C",#REF!),"")</f>
        <v>#REF!</v>
      </c>
      <c r="Z35" s="155" t="e">
        <f>IF(AND(#REF!="Media",#REF!="Moderado"),CONCATENATE("R10C",#REF!),"")</f>
        <v>#REF!</v>
      </c>
      <c r="AA35" s="156" t="e">
        <f>IF(AND(#REF!="Media",#REF!="Moderado"),CONCATENATE("R10C",#REF!),"")</f>
        <v>#REF!</v>
      </c>
      <c r="AB35" s="148" t="e">
        <f>IF(AND(#REF!="Media",#REF!="Mayor"),CONCATENATE("R10C",#REF!),"")</f>
        <v>#REF!</v>
      </c>
      <c r="AC35" s="149" t="e">
        <f>IF(AND(#REF!="Media",#REF!="Mayor"),CONCATENATE("R10C",#REF!),"")</f>
        <v>#REF!</v>
      </c>
      <c r="AD35" s="149" t="e">
        <f>IF(AND(#REF!="Media",#REF!="Mayor"),CONCATENATE("R10C",#REF!),"")</f>
        <v>#REF!</v>
      </c>
      <c r="AE35" s="149" t="e">
        <f>IF(AND(#REF!="Media",#REF!="Mayor"),CONCATENATE("R10C",#REF!),"")</f>
        <v>#REF!</v>
      </c>
      <c r="AF35" s="149" t="e">
        <f>IF(AND(#REF!="Media",#REF!="Mayor"),CONCATENATE("R10C",#REF!),"")</f>
        <v>#REF!</v>
      </c>
      <c r="AG35" s="150" t="e">
        <f>IF(AND(#REF!="Media",#REF!="Mayor"),CONCATENATE("R10C",#REF!),"")</f>
        <v>#REF!</v>
      </c>
      <c r="AH35" s="151" t="e">
        <f>IF(AND(#REF!="Media",#REF!="Catastrófico"),CONCATENATE("R10C",#REF!),"")</f>
        <v>#REF!</v>
      </c>
      <c r="AI35" s="152" t="e">
        <f>IF(AND(#REF!="Media",#REF!="Catastrófico"),CONCATENATE("R10C",#REF!),"")</f>
        <v>#REF!</v>
      </c>
      <c r="AJ35" s="152" t="e">
        <f>IF(AND(#REF!="Media",#REF!="Catastrófico"),CONCATENATE("R10C",#REF!),"")</f>
        <v>#REF!</v>
      </c>
      <c r="AK35" s="152" t="e">
        <f>IF(AND(#REF!="Media",#REF!="Catastrófico"),CONCATENATE("R10C",#REF!),"")</f>
        <v>#REF!</v>
      </c>
      <c r="AL35" s="152" t="e">
        <f>IF(AND(#REF!="Media",#REF!="Catastrófico"),CONCATENATE("R10C",#REF!),"")</f>
        <v>#REF!</v>
      </c>
      <c r="AM35" s="153" t="e">
        <f>IF(AND(#REF!="Media",#REF!="Catastrófico"),CONCATENATE("R10C",#REF!),"")</f>
        <v>#REF!</v>
      </c>
      <c r="AN35" s="115"/>
      <c r="AO35" s="686"/>
      <c r="AP35" s="687"/>
      <c r="AQ35" s="687"/>
      <c r="AR35" s="687"/>
      <c r="AS35" s="687"/>
      <c r="AT35" s="688"/>
      <c r="AU35" s="115"/>
      <c r="AV35" s="115"/>
      <c r="AW35" s="115"/>
      <c r="AX35" s="115"/>
      <c r="AY35" s="115"/>
      <c r="AZ35" s="115"/>
      <c r="BA35" s="115"/>
      <c r="BB35" s="115"/>
      <c r="BC35" s="115"/>
      <c r="BD35" s="115"/>
      <c r="BE35" s="115"/>
      <c r="BF35" s="115"/>
      <c r="BG35" s="115"/>
      <c r="BH35" s="115"/>
      <c r="BI35" s="115"/>
    </row>
    <row r="36" spans="1:61" ht="15" customHeight="1" x14ac:dyDescent="0.25">
      <c r="A36" s="115"/>
      <c r="B36" s="654"/>
      <c r="C36" s="670"/>
      <c r="D36" s="653"/>
      <c r="E36" s="693" t="s">
        <v>9</v>
      </c>
      <c r="F36" s="656"/>
      <c r="G36" s="656"/>
      <c r="H36" s="656"/>
      <c r="I36" s="656"/>
      <c r="J36" s="28" t="e">
        <f>IF(AND(#REF!="Baja",#REF!="Leve"),CONCATENATE("R1C",#REF!),"")</f>
        <v>#REF!</v>
      </c>
      <c r="K36" s="29" t="e">
        <f>IF(AND(#REF!="Baja",#REF!="Leve"),CONCATENATE("R1C",#REF!),"")</f>
        <v>#REF!</v>
      </c>
      <c r="L36" s="29" t="e">
        <f>IF(AND(#REF!="Baja",#REF!="Leve"),CONCATENATE("R1C",#REF!),"")</f>
        <v>#REF!</v>
      </c>
      <c r="M36" s="29" t="e">
        <f>IF(AND(#REF!="Baja",#REF!="Leve"),CONCATENATE("R1C",#REF!),"")</f>
        <v>#REF!</v>
      </c>
      <c r="N36" s="29" t="e">
        <f>IF(AND(#REF!="Baja",#REF!="Leve"),CONCATENATE("R1C",#REF!),"")</f>
        <v>#REF!</v>
      </c>
      <c r="O36" s="30" t="e">
        <f>IF(AND(#REF!="Baja",#REF!="Leve"),CONCATENATE("R1C",#REF!),"")</f>
        <v>#REF!</v>
      </c>
      <c r="P36" s="25" t="e">
        <f>IF(AND(#REF!="Baja",#REF!="Menor"),CONCATENATE("R1C",#REF!),"")</f>
        <v>#REF!</v>
      </c>
      <c r="Q36" s="26" t="e">
        <f>IF(AND(#REF!="Baja",#REF!="Menor"),CONCATENATE("R1C",#REF!),"")</f>
        <v>#REF!</v>
      </c>
      <c r="R36" s="26" t="e">
        <f>IF(AND(#REF!="Baja",#REF!="Menor"),CONCATENATE("R1C",#REF!),"")</f>
        <v>#REF!</v>
      </c>
      <c r="S36" s="26" t="e">
        <f>IF(AND(#REF!="Baja",#REF!="Menor"),CONCATENATE("R1C",#REF!),"")</f>
        <v>#REF!</v>
      </c>
      <c r="T36" s="26" t="e">
        <f>IF(AND(#REF!="Baja",#REF!="Menor"),CONCATENATE("R1C",#REF!),"")</f>
        <v>#REF!</v>
      </c>
      <c r="U36" s="27" t="e">
        <f>IF(AND(#REF!="Baja",#REF!="Menor"),CONCATENATE("R1C",#REF!),"")</f>
        <v>#REF!</v>
      </c>
      <c r="V36" s="25" t="e">
        <f>IF(AND(#REF!="Baja",#REF!="Moderado"),CONCATENATE("R1C",#REF!),"")</f>
        <v>#REF!</v>
      </c>
      <c r="W36" s="26" t="e">
        <f>IF(AND(#REF!="Baja",#REF!="Moderado"),CONCATENATE("R1C",#REF!),"")</f>
        <v>#REF!</v>
      </c>
      <c r="X36" s="26" t="e">
        <f>IF(AND(#REF!="Baja",#REF!="Moderado"),CONCATENATE("R1C",#REF!),"")</f>
        <v>#REF!</v>
      </c>
      <c r="Y36" s="26" t="e">
        <f>IF(AND(#REF!="Baja",#REF!="Moderado"),CONCATENATE("R1C",#REF!),"")</f>
        <v>#REF!</v>
      </c>
      <c r="Z36" s="26" t="e">
        <f>IF(AND(#REF!="Baja",#REF!="Moderado"),CONCATENATE("R1C",#REF!),"")</f>
        <v>#REF!</v>
      </c>
      <c r="AA36" s="27" t="e">
        <f>IF(AND(#REF!="Baja",#REF!="Moderado"),CONCATENATE("R1C",#REF!),"")</f>
        <v>#REF!</v>
      </c>
      <c r="AB36" s="19" t="e">
        <f>IF(AND(#REF!="Baja",#REF!="Mayor"),CONCATENATE("R1C",#REF!),"")</f>
        <v>#REF!</v>
      </c>
      <c r="AC36" s="20" t="e">
        <f>IF(AND(#REF!="Baja",#REF!="Mayor"),CONCATENATE("R1C",#REF!),"")</f>
        <v>#REF!</v>
      </c>
      <c r="AD36" s="20" t="e">
        <f>IF(AND(#REF!="Baja",#REF!="Mayor"),CONCATENATE("R1C",#REF!),"")</f>
        <v>#REF!</v>
      </c>
      <c r="AE36" s="20" t="e">
        <f>IF(AND(#REF!="Baja",#REF!="Mayor"),CONCATENATE("R1C",#REF!),"")</f>
        <v>#REF!</v>
      </c>
      <c r="AF36" s="20" t="e">
        <f>IF(AND(#REF!="Baja",#REF!="Mayor"),CONCATENATE("R1C",#REF!),"")</f>
        <v>#REF!</v>
      </c>
      <c r="AG36" s="21" t="e">
        <f>IF(AND(#REF!="Baja",#REF!="Mayor"),CONCATENATE("R1C",#REF!),"")</f>
        <v>#REF!</v>
      </c>
      <c r="AH36" s="22" t="e">
        <f>IF(AND(#REF!="Baja",#REF!="Catastrófico"),CONCATENATE("R1C",#REF!),"")</f>
        <v>#REF!</v>
      </c>
      <c r="AI36" s="23" t="e">
        <f>IF(AND(#REF!="Baja",#REF!="Catastrófico"),CONCATENATE("R1C",#REF!),"")</f>
        <v>#REF!</v>
      </c>
      <c r="AJ36" s="23" t="e">
        <f>IF(AND(#REF!="Baja",#REF!="Catastrófico"),CONCATENATE("R1C",#REF!),"")</f>
        <v>#REF!</v>
      </c>
      <c r="AK36" s="23" t="e">
        <f>IF(AND(#REF!="Baja",#REF!="Catastrófico"),CONCATENATE("R1C",#REF!),"")</f>
        <v>#REF!</v>
      </c>
      <c r="AL36" s="23" t="e">
        <f>IF(AND(#REF!="Baja",#REF!="Catastrófico"),CONCATENATE("R1C",#REF!),"")</f>
        <v>#REF!</v>
      </c>
      <c r="AM36" s="24" t="e">
        <f>IF(AND(#REF!="Baja",#REF!="Catastrófico"),CONCATENATE("R1C",#REF!),"")</f>
        <v>#REF!</v>
      </c>
      <c r="AN36" s="115"/>
      <c r="AO36" s="697" t="s">
        <v>10</v>
      </c>
      <c r="AP36" s="682"/>
      <c r="AQ36" s="682"/>
      <c r="AR36" s="682"/>
      <c r="AS36" s="682"/>
      <c r="AT36" s="683"/>
      <c r="AU36" s="115"/>
      <c r="AV36" s="115"/>
      <c r="AW36" s="115"/>
      <c r="AX36" s="115"/>
      <c r="AY36" s="115"/>
      <c r="AZ36" s="115"/>
      <c r="BA36" s="115"/>
      <c r="BB36" s="115"/>
      <c r="BC36" s="115"/>
      <c r="BD36" s="115"/>
      <c r="BE36" s="115"/>
      <c r="BF36" s="115"/>
      <c r="BG36" s="115"/>
      <c r="BH36" s="115"/>
      <c r="BI36" s="115"/>
    </row>
    <row r="37" spans="1:61" ht="15" customHeight="1" x14ac:dyDescent="0.25">
      <c r="A37" s="115"/>
      <c r="B37" s="654"/>
      <c r="C37" s="670"/>
      <c r="D37" s="653"/>
      <c r="E37" s="659"/>
      <c r="F37" s="670"/>
      <c r="G37" s="670"/>
      <c r="H37" s="670"/>
      <c r="I37" s="670"/>
      <c r="J37" s="160" t="e">
        <f>IF(AND(#REF!="Baja",#REF!="Leve"),CONCATENATE("R2C",#REF!),"")</f>
        <v>#REF!</v>
      </c>
      <c r="K37" s="161" t="e">
        <f>IF(AND(#REF!="Baja",#REF!="Leve"),CONCATENATE("R2C",#REF!),"")</f>
        <v>#REF!</v>
      </c>
      <c r="L37" s="161" t="e">
        <f>IF(AND(#REF!="Baja",#REF!="Leve"),CONCATENATE("R2C",#REF!),"")</f>
        <v>#REF!</v>
      </c>
      <c r="M37" s="161" t="e">
        <f>IF(AND(#REF!="Baja",#REF!="Leve"),CONCATENATE("R2C",#REF!),"")</f>
        <v>#REF!</v>
      </c>
      <c r="N37" s="161" t="e">
        <f>IF(AND(#REF!="Baja",#REF!="Leve"),CONCATENATE("R2C",#REF!),"")</f>
        <v>#REF!</v>
      </c>
      <c r="O37" s="162" t="e">
        <f>IF(AND(#REF!="Baja",#REF!="Leve"),CONCATENATE("R2C",#REF!),"")</f>
        <v>#REF!</v>
      </c>
      <c r="P37" s="154" t="e">
        <f>IF(AND(#REF!="Baja",#REF!="Menor"),CONCATENATE("R2C",#REF!),"")</f>
        <v>#REF!</v>
      </c>
      <c r="Q37" s="155" t="e">
        <f>IF(AND(#REF!="Baja",#REF!="Menor"),CONCATENATE("R2C",#REF!),"")</f>
        <v>#REF!</v>
      </c>
      <c r="R37" s="155" t="e">
        <f>IF(AND(#REF!="Baja",#REF!="Menor"),CONCATENATE("R2C",#REF!),"")</f>
        <v>#REF!</v>
      </c>
      <c r="S37" s="155" t="e">
        <f>IF(AND(#REF!="Baja",#REF!="Menor"),CONCATENATE("R2C",#REF!),"")</f>
        <v>#REF!</v>
      </c>
      <c r="T37" s="155" t="e">
        <f>IF(AND(#REF!="Baja",#REF!="Menor"),CONCATENATE("R2C",#REF!),"")</f>
        <v>#REF!</v>
      </c>
      <c r="U37" s="156" t="e">
        <f>IF(AND(#REF!="Baja",#REF!="Menor"),CONCATENATE("R2C",#REF!),"")</f>
        <v>#REF!</v>
      </c>
      <c r="V37" s="154" t="e">
        <f>IF(AND(#REF!="Baja",#REF!="Moderado"),CONCATENATE("R2C",#REF!),"")</f>
        <v>#REF!</v>
      </c>
      <c r="W37" s="155" t="e">
        <f>IF(AND(#REF!="Baja",#REF!="Moderado"),CONCATENATE("R2C",#REF!),"")</f>
        <v>#REF!</v>
      </c>
      <c r="X37" s="155" t="e">
        <f>IF(AND(#REF!="Baja",#REF!="Moderado"),CONCATENATE("R2C",#REF!),"")</f>
        <v>#REF!</v>
      </c>
      <c r="Y37" s="155" t="e">
        <f>IF(AND(#REF!="Baja",#REF!="Moderado"),CONCATENATE("R2C",#REF!),"")</f>
        <v>#REF!</v>
      </c>
      <c r="Z37" s="155" t="e">
        <f>IF(AND(#REF!="Baja",#REF!="Moderado"),CONCATENATE("R2C",#REF!),"")</f>
        <v>#REF!</v>
      </c>
      <c r="AA37" s="156" t="e">
        <f>IF(AND(#REF!="Baja",#REF!="Moderado"),CONCATENATE("R2C",#REF!),"")</f>
        <v>#REF!</v>
      </c>
      <c r="AB37" s="142" t="e">
        <f>IF(AND(#REF!="Baja",#REF!="Mayor"),CONCATENATE("R2C",#REF!),"")</f>
        <v>#REF!</v>
      </c>
      <c r="AC37" s="143" t="e">
        <f>IF(AND(#REF!="Baja",#REF!="Mayor"),CONCATENATE("R2C",#REF!),"")</f>
        <v>#REF!</v>
      </c>
      <c r="AD37" s="143" t="e">
        <f>IF(AND(#REF!="Baja",#REF!="Mayor"),CONCATENATE("R2C",#REF!),"")</f>
        <v>#REF!</v>
      </c>
      <c r="AE37" s="143" t="e">
        <f>IF(AND(#REF!="Baja",#REF!="Mayor"),CONCATENATE("R2C",#REF!),"")</f>
        <v>#REF!</v>
      </c>
      <c r="AF37" s="143" t="e">
        <f>IF(AND(#REF!="Baja",#REF!="Mayor"),CONCATENATE("R2C",#REF!),"")</f>
        <v>#REF!</v>
      </c>
      <c r="AG37" s="144" t="e">
        <f>IF(AND(#REF!="Baja",#REF!="Mayor"),CONCATENATE("R2C",#REF!),"")</f>
        <v>#REF!</v>
      </c>
      <c r="AH37" s="145" t="e">
        <f>IF(AND(#REF!="Baja",#REF!="Catastrófico"),CONCATENATE("R2C",#REF!),"")</f>
        <v>#REF!</v>
      </c>
      <c r="AI37" s="146" t="e">
        <f>IF(AND(#REF!="Baja",#REF!="Catastrófico"),CONCATENATE("R2C",#REF!),"")</f>
        <v>#REF!</v>
      </c>
      <c r="AJ37" s="146" t="e">
        <f>IF(AND(#REF!="Baja",#REF!="Catastrófico"),CONCATENATE("R2C",#REF!),"")</f>
        <v>#REF!</v>
      </c>
      <c r="AK37" s="146" t="e">
        <f>IF(AND(#REF!="Baja",#REF!="Catastrófico"),CONCATENATE("R2C",#REF!),"")</f>
        <v>#REF!</v>
      </c>
      <c r="AL37" s="146" t="e">
        <f>IF(AND(#REF!="Baja",#REF!="Catastrófico"),CONCATENATE("R2C",#REF!),"")</f>
        <v>#REF!</v>
      </c>
      <c r="AM37" s="147" t="e">
        <f>IF(AND(#REF!="Baja",#REF!="Catastrófico"),CONCATENATE("R2C",#REF!),"")</f>
        <v>#REF!</v>
      </c>
      <c r="AN37" s="115"/>
      <c r="AO37" s="684"/>
      <c r="AP37" s="670"/>
      <c r="AQ37" s="670"/>
      <c r="AR37" s="670"/>
      <c r="AS37" s="670"/>
      <c r="AT37" s="685"/>
      <c r="AU37" s="115"/>
      <c r="AV37" s="115"/>
      <c r="AW37" s="115"/>
      <c r="AX37" s="115"/>
      <c r="AY37" s="115"/>
      <c r="AZ37" s="115"/>
      <c r="BA37" s="115"/>
      <c r="BB37" s="115"/>
      <c r="BC37" s="115"/>
      <c r="BD37" s="115"/>
      <c r="BE37" s="115"/>
      <c r="BF37" s="115"/>
      <c r="BG37" s="115"/>
      <c r="BH37" s="115"/>
      <c r="BI37" s="115"/>
    </row>
    <row r="38" spans="1:61" ht="15" customHeight="1" x14ac:dyDescent="0.25">
      <c r="A38" s="115"/>
      <c r="B38" s="654"/>
      <c r="C38" s="670"/>
      <c r="D38" s="653"/>
      <c r="E38" s="659"/>
      <c r="F38" s="670"/>
      <c r="G38" s="670"/>
      <c r="H38" s="670"/>
      <c r="I38" s="670"/>
      <c r="J38" s="160" t="e">
        <f>IF(AND(#REF!="Baja",#REF!="Leve"),CONCATENATE("R3C",#REF!),"")</f>
        <v>#REF!</v>
      </c>
      <c r="K38" s="161" t="e">
        <f>IF(AND(#REF!="Baja",#REF!="Leve"),CONCATENATE("R3C",#REF!),"")</f>
        <v>#REF!</v>
      </c>
      <c r="L38" s="161" t="e">
        <f>IF(AND(#REF!="Baja",#REF!="Leve"),CONCATENATE("R3C",#REF!),"")</f>
        <v>#REF!</v>
      </c>
      <c r="M38" s="161" t="e">
        <f>IF(AND(#REF!="Baja",#REF!="Leve"),CONCATENATE("R3C",#REF!),"")</f>
        <v>#REF!</v>
      </c>
      <c r="N38" s="161" t="e">
        <f>IF(AND(#REF!="Baja",#REF!="Leve"),CONCATENATE("R3C",#REF!),"")</f>
        <v>#REF!</v>
      </c>
      <c r="O38" s="162" t="e">
        <f>IF(AND(#REF!="Baja",#REF!="Leve"),CONCATENATE("R3C",#REF!),"")</f>
        <v>#REF!</v>
      </c>
      <c r="P38" s="154" t="e">
        <f>IF(AND(#REF!="Baja",#REF!="Menor"),CONCATENATE("R3C",#REF!),"")</f>
        <v>#REF!</v>
      </c>
      <c r="Q38" s="155" t="e">
        <f>IF(AND(#REF!="Baja",#REF!="Menor"),CONCATENATE("R3C",#REF!),"")</f>
        <v>#REF!</v>
      </c>
      <c r="R38" s="155" t="e">
        <f>IF(AND(#REF!="Baja",#REF!="Menor"),CONCATENATE("R3C",#REF!),"")</f>
        <v>#REF!</v>
      </c>
      <c r="S38" s="155" t="e">
        <f>IF(AND(#REF!="Baja",#REF!="Menor"),CONCATENATE("R3C",#REF!),"")</f>
        <v>#REF!</v>
      </c>
      <c r="T38" s="155" t="e">
        <f>IF(AND(#REF!="Baja",#REF!="Menor"),CONCATENATE("R3C",#REF!),"")</f>
        <v>#REF!</v>
      </c>
      <c r="U38" s="156" t="e">
        <f>IF(AND(#REF!="Baja",#REF!="Menor"),CONCATENATE("R3C",#REF!),"")</f>
        <v>#REF!</v>
      </c>
      <c r="V38" s="154" t="e">
        <f>IF(AND(#REF!="Baja",#REF!="Moderado"),CONCATENATE("R3C",#REF!),"")</f>
        <v>#REF!</v>
      </c>
      <c r="W38" s="155" t="e">
        <f>IF(AND(#REF!="Baja",#REF!="Moderado"),CONCATENATE("R3C",#REF!),"")</f>
        <v>#REF!</v>
      </c>
      <c r="X38" s="155" t="e">
        <f>IF(AND(#REF!="Baja",#REF!="Moderado"),CONCATENATE("R3C",#REF!),"")</f>
        <v>#REF!</v>
      </c>
      <c r="Y38" s="155" t="e">
        <f>IF(AND(#REF!="Baja",#REF!="Moderado"),CONCATENATE("R3C",#REF!),"")</f>
        <v>#REF!</v>
      </c>
      <c r="Z38" s="155" t="e">
        <f>IF(AND(#REF!="Baja",#REF!="Moderado"),CONCATENATE("R3C",#REF!),"")</f>
        <v>#REF!</v>
      </c>
      <c r="AA38" s="156" t="e">
        <f>IF(AND(#REF!="Baja",#REF!="Moderado"),CONCATENATE("R3C",#REF!),"")</f>
        <v>#REF!</v>
      </c>
      <c r="AB38" s="142" t="e">
        <f>IF(AND(#REF!="Baja",#REF!="Mayor"),CONCATENATE("R3C",#REF!),"")</f>
        <v>#REF!</v>
      </c>
      <c r="AC38" s="143" t="e">
        <f>IF(AND(#REF!="Baja",#REF!="Mayor"),CONCATENATE("R3C",#REF!),"")</f>
        <v>#REF!</v>
      </c>
      <c r="AD38" s="143" t="e">
        <f>IF(AND(#REF!="Baja",#REF!="Mayor"),CONCATENATE("R3C",#REF!),"")</f>
        <v>#REF!</v>
      </c>
      <c r="AE38" s="143" t="e">
        <f>IF(AND(#REF!="Baja",#REF!="Mayor"),CONCATENATE("R3C",#REF!),"")</f>
        <v>#REF!</v>
      </c>
      <c r="AF38" s="143" t="e">
        <f>IF(AND(#REF!="Baja",#REF!="Mayor"),CONCATENATE("R3C",#REF!),"")</f>
        <v>#REF!</v>
      </c>
      <c r="AG38" s="144" t="e">
        <f>IF(AND(#REF!="Baja",#REF!="Mayor"),CONCATENATE("R3C",#REF!),"")</f>
        <v>#REF!</v>
      </c>
      <c r="AH38" s="145" t="e">
        <f>IF(AND(#REF!="Baja",#REF!="Catastrófico"),CONCATENATE("R3C",#REF!),"")</f>
        <v>#REF!</v>
      </c>
      <c r="AI38" s="146" t="e">
        <f>IF(AND(#REF!="Baja",#REF!="Catastrófico"),CONCATENATE("R3C",#REF!),"")</f>
        <v>#REF!</v>
      </c>
      <c r="AJ38" s="146" t="e">
        <f>IF(AND(#REF!="Baja",#REF!="Catastrófico"),CONCATENATE("R3C",#REF!),"")</f>
        <v>#REF!</v>
      </c>
      <c r="AK38" s="146" t="e">
        <f>IF(AND(#REF!="Baja",#REF!="Catastrófico"),CONCATENATE("R3C",#REF!),"")</f>
        <v>#REF!</v>
      </c>
      <c r="AL38" s="146" t="e">
        <f>IF(AND(#REF!="Baja",#REF!="Catastrófico"),CONCATENATE("R3C",#REF!),"")</f>
        <v>#REF!</v>
      </c>
      <c r="AM38" s="147" t="e">
        <f>IF(AND(#REF!="Baja",#REF!="Catastrófico"),CONCATENATE("R3C",#REF!),"")</f>
        <v>#REF!</v>
      </c>
      <c r="AN38" s="115"/>
      <c r="AO38" s="684"/>
      <c r="AP38" s="670"/>
      <c r="AQ38" s="670"/>
      <c r="AR38" s="670"/>
      <c r="AS38" s="670"/>
      <c r="AT38" s="685"/>
      <c r="AU38" s="115"/>
      <c r="AV38" s="115"/>
      <c r="AW38" s="115"/>
      <c r="AX38" s="115"/>
      <c r="AY38" s="115"/>
      <c r="AZ38" s="115"/>
      <c r="BA38" s="115"/>
      <c r="BB38" s="115"/>
      <c r="BC38" s="115"/>
      <c r="BD38" s="115"/>
      <c r="BE38" s="115"/>
      <c r="BF38" s="115"/>
      <c r="BG38" s="115"/>
      <c r="BH38" s="115"/>
      <c r="BI38" s="115"/>
    </row>
    <row r="39" spans="1:61" ht="15" customHeight="1" x14ac:dyDescent="0.25">
      <c r="A39" s="115"/>
      <c r="B39" s="654"/>
      <c r="C39" s="670"/>
      <c r="D39" s="653"/>
      <c r="E39" s="659"/>
      <c r="F39" s="670"/>
      <c r="G39" s="670"/>
      <c r="H39" s="670"/>
      <c r="I39" s="670"/>
      <c r="J39" s="160" t="e">
        <f>IF(AND(#REF!="Baja",#REF!="Leve"),CONCATENATE("R4C",#REF!),"")</f>
        <v>#REF!</v>
      </c>
      <c r="K39" s="161" t="e">
        <f>IF(AND(#REF!="Baja",#REF!="Leve"),CONCATENATE("R4C",#REF!),"")</f>
        <v>#REF!</v>
      </c>
      <c r="L39" s="161" t="e">
        <f>IF(AND(#REF!="Baja",#REF!="Leve"),CONCATENATE("R4C",#REF!),"")</f>
        <v>#REF!</v>
      </c>
      <c r="M39" s="161" t="e">
        <f>IF(AND(#REF!="Baja",#REF!="Leve"),CONCATENATE("R4C",#REF!),"")</f>
        <v>#REF!</v>
      </c>
      <c r="N39" s="161" t="e">
        <f>IF(AND(#REF!="Baja",#REF!="Leve"),CONCATENATE("R4C",#REF!),"")</f>
        <v>#REF!</v>
      </c>
      <c r="O39" s="162" t="e">
        <f>IF(AND(#REF!="Baja",#REF!="Leve"),CONCATENATE("R4C",#REF!),"")</f>
        <v>#REF!</v>
      </c>
      <c r="P39" s="154" t="e">
        <f>IF(AND(#REF!="Baja",#REF!="Menor"),CONCATENATE("R4C",#REF!),"")</f>
        <v>#REF!</v>
      </c>
      <c r="Q39" s="155" t="e">
        <f>IF(AND(#REF!="Baja",#REF!="Menor"),CONCATENATE("R4C",#REF!),"")</f>
        <v>#REF!</v>
      </c>
      <c r="R39" s="155" t="e">
        <f>IF(AND(#REF!="Baja",#REF!="Menor"),CONCATENATE("R4C",#REF!),"")</f>
        <v>#REF!</v>
      </c>
      <c r="S39" s="155" t="e">
        <f>IF(AND(#REF!="Baja",#REF!="Menor"),CONCATENATE("R4C",#REF!),"")</f>
        <v>#REF!</v>
      </c>
      <c r="T39" s="155" t="e">
        <f>IF(AND(#REF!="Baja",#REF!="Menor"),CONCATENATE("R4C",#REF!),"")</f>
        <v>#REF!</v>
      </c>
      <c r="U39" s="156" t="e">
        <f>IF(AND(#REF!="Baja",#REF!="Menor"),CONCATENATE("R4C",#REF!),"")</f>
        <v>#REF!</v>
      </c>
      <c r="V39" s="154" t="e">
        <f>IF(AND(#REF!="Baja",#REF!="Moderado"),CONCATENATE("R4C",#REF!),"")</f>
        <v>#REF!</v>
      </c>
      <c r="W39" s="155" t="e">
        <f>IF(AND(#REF!="Baja",#REF!="Moderado"),CONCATENATE("R4C",#REF!),"")</f>
        <v>#REF!</v>
      </c>
      <c r="X39" s="155" t="e">
        <f>IF(AND(#REF!="Baja",#REF!="Moderado"),CONCATENATE("R4C",#REF!),"")</f>
        <v>#REF!</v>
      </c>
      <c r="Y39" s="155" t="e">
        <f>IF(AND(#REF!="Baja",#REF!="Moderado"),CONCATENATE("R4C",#REF!),"")</f>
        <v>#REF!</v>
      </c>
      <c r="Z39" s="155" t="e">
        <f>IF(AND(#REF!="Baja",#REF!="Moderado"),CONCATENATE("R4C",#REF!),"")</f>
        <v>#REF!</v>
      </c>
      <c r="AA39" s="156" t="e">
        <f>IF(AND(#REF!="Baja",#REF!="Moderado"),CONCATENATE("R4C",#REF!),"")</f>
        <v>#REF!</v>
      </c>
      <c r="AB39" s="142" t="e">
        <f>IF(AND(#REF!="Baja",#REF!="Mayor"),CONCATENATE("R4C",#REF!),"")</f>
        <v>#REF!</v>
      </c>
      <c r="AC39" s="143" t="e">
        <f>IF(AND(#REF!="Baja",#REF!="Mayor"),CONCATENATE("R4C",#REF!),"")</f>
        <v>#REF!</v>
      </c>
      <c r="AD39" s="143" t="e">
        <f>IF(AND(#REF!="Baja",#REF!="Mayor"),CONCATENATE("R4C",#REF!),"")</f>
        <v>#REF!</v>
      </c>
      <c r="AE39" s="143" t="e">
        <f>IF(AND(#REF!="Baja",#REF!="Mayor"),CONCATENATE("R4C",#REF!),"")</f>
        <v>#REF!</v>
      </c>
      <c r="AF39" s="143" t="e">
        <f>IF(AND(#REF!="Baja",#REF!="Mayor"),CONCATENATE("R4C",#REF!),"")</f>
        <v>#REF!</v>
      </c>
      <c r="AG39" s="144" t="e">
        <f>IF(AND(#REF!="Baja",#REF!="Mayor"),CONCATENATE("R4C",#REF!),"")</f>
        <v>#REF!</v>
      </c>
      <c r="AH39" s="145" t="e">
        <f>IF(AND(#REF!="Baja",#REF!="Catastrófico"),CONCATENATE("R4C",#REF!),"")</f>
        <v>#REF!</v>
      </c>
      <c r="AI39" s="146" t="e">
        <f>IF(AND(#REF!="Baja",#REF!="Catastrófico"),CONCATENATE("R4C",#REF!),"")</f>
        <v>#REF!</v>
      </c>
      <c r="AJ39" s="146" t="e">
        <f>IF(AND(#REF!="Baja",#REF!="Catastrófico"),CONCATENATE("R4C",#REF!),"")</f>
        <v>#REF!</v>
      </c>
      <c r="AK39" s="146" t="e">
        <f>IF(AND(#REF!="Baja",#REF!="Catastrófico"),CONCATENATE("R4C",#REF!),"")</f>
        <v>#REF!</v>
      </c>
      <c r="AL39" s="146" t="e">
        <f>IF(AND(#REF!="Baja",#REF!="Catastrófico"),CONCATENATE("R4C",#REF!),"")</f>
        <v>#REF!</v>
      </c>
      <c r="AM39" s="147" t="e">
        <f>IF(AND(#REF!="Baja",#REF!="Catastrófico"),CONCATENATE("R4C",#REF!),"")</f>
        <v>#REF!</v>
      </c>
      <c r="AN39" s="115"/>
      <c r="AO39" s="684"/>
      <c r="AP39" s="670"/>
      <c r="AQ39" s="670"/>
      <c r="AR39" s="670"/>
      <c r="AS39" s="670"/>
      <c r="AT39" s="685"/>
      <c r="AU39" s="115"/>
      <c r="AV39" s="115"/>
      <c r="AW39" s="115"/>
      <c r="AX39" s="115"/>
      <c r="AY39" s="115"/>
      <c r="AZ39" s="115"/>
      <c r="BA39" s="115"/>
      <c r="BB39" s="115"/>
      <c r="BC39" s="115"/>
      <c r="BD39" s="115"/>
      <c r="BE39" s="115"/>
      <c r="BF39" s="115"/>
      <c r="BG39" s="115"/>
      <c r="BH39" s="115"/>
      <c r="BI39" s="115"/>
    </row>
    <row r="40" spans="1:61" ht="15" customHeight="1" x14ac:dyDescent="0.25">
      <c r="A40" s="115"/>
      <c r="B40" s="654"/>
      <c r="C40" s="670"/>
      <c r="D40" s="653"/>
      <c r="E40" s="659"/>
      <c r="F40" s="670"/>
      <c r="G40" s="670"/>
      <c r="H40" s="670"/>
      <c r="I40" s="670"/>
      <c r="J40" s="160" t="e">
        <f>IF(AND(#REF!="Baja",#REF!="Leve"),CONCATENATE("R5C",#REF!),"")</f>
        <v>#REF!</v>
      </c>
      <c r="K40" s="161" t="e">
        <f>IF(AND(#REF!="Baja",#REF!="Leve"),CONCATENATE("R5C",#REF!),"")</f>
        <v>#REF!</v>
      </c>
      <c r="L40" s="161" t="e">
        <f>IF(AND(#REF!="Baja",#REF!="Leve"),CONCATENATE("R5C",#REF!),"")</f>
        <v>#REF!</v>
      </c>
      <c r="M40" s="161" t="e">
        <f>IF(AND(#REF!="Baja",#REF!="Leve"),CONCATENATE("R5C",#REF!),"")</f>
        <v>#REF!</v>
      </c>
      <c r="N40" s="161" t="e">
        <f>IF(AND(#REF!="Baja",#REF!="Leve"),CONCATENATE("R5C",#REF!),"")</f>
        <v>#REF!</v>
      </c>
      <c r="O40" s="162" t="e">
        <f>IF(AND(#REF!="Baja",#REF!="Leve"),CONCATENATE("R5C",#REF!),"")</f>
        <v>#REF!</v>
      </c>
      <c r="P40" s="154" t="e">
        <f>IF(AND(#REF!="Baja",#REF!="Menor"),CONCATENATE("R5C",#REF!),"")</f>
        <v>#REF!</v>
      </c>
      <c r="Q40" s="155" t="e">
        <f>IF(AND(#REF!="Baja",#REF!="Menor"),CONCATENATE("R5C",#REF!),"")</f>
        <v>#REF!</v>
      </c>
      <c r="R40" s="155" t="e">
        <f>IF(AND(#REF!="Baja",#REF!="Menor"),CONCATENATE("R5C",#REF!),"")</f>
        <v>#REF!</v>
      </c>
      <c r="S40" s="155" t="e">
        <f>IF(AND(#REF!="Baja",#REF!="Menor"),CONCATENATE("R5C",#REF!),"")</f>
        <v>#REF!</v>
      </c>
      <c r="T40" s="155" t="e">
        <f>IF(AND(#REF!="Baja",#REF!="Menor"),CONCATENATE("R5C",#REF!),"")</f>
        <v>#REF!</v>
      </c>
      <c r="U40" s="156" t="e">
        <f>IF(AND(#REF!="Baja",#REF!="Menor"),CONCATENATE("R5C",#REF!),"")</f>
        <v>#REF!</v>
      </c>
      <c r="V40" s="154" t="e">
        <f>IF(AND(#REF!="Baja",#REF!="Moderado"),CONCATENATE("R5C",#REF!),"")</f>
        <v>#REF!</v>
      </c>
      <c r="W40" s="155" t="e">
        <f>IF(AND(#REF!="Baja",#REF!="Moderado"),CONCATENATE("R5C",#REF!),"")</f>
        <v>#REF!</v>
      </c>
      <c r="X40" s="155" t="e">
        <f>IF(AND(#REF!="Baja",#REF!="Moderado"),CONCATENATE("R5C",#REF!),"")</f>
        <v>#REF!</v>
      </c>
      <c r="Y40" s="155" t="e">
        <f>IF(AND(#REF!="Baja",#REF!="Moderado"),CONCATENATE("R5C",#REF!),"")</f>
        <v>#REF!</v>
      </c>
      <c r="Z40" s="155" t="e">
        <f>IF(AND(#REF!="Baja",#REF!="Moderado"),CONCATENATE("R5C",#REF!),"")</f>
        <v>#REF!</v>
      </c>
      <c r="AA40" s="156" t="e">
        <f>IF(AND(#REF!="Baja",#REF!="Moderado"),CONCATENATE("R5C",#REF!),"")</f>
        <v>#REF!</v>
      </c>
      <c r="AB40" s="142" t="e">
        <f>IF(AND(#REF!="Baja",#REF!="Mayor"),CONCATENATE("R5C",#REF!),"")</f>
        <v>#REF!</v>
      </c>
      <c r="AC40" s="143" t="e">
        <f>IF(AND(#REF!="Baja",#REF!="Mayor"),CONCATENATE("R5C",#REF!),"")</f>
        <v>#REF!</v>
      </c>
      <c r="AD40" s="143" t="e">
        <f>IF(AND(#REF!="Baja",#REF!="Mayor"),CONCATENATE("R5C",#REF!),"")</f>
        <v>#REF!</v>
      </c>
      <c r="AE40" s="143" t="e">
        <f>IF(AND(#REF!="Baja",#REF!="Mayor"),CONCATENATE("R5C",#REF!),"")</f>
        <v>#REF!</v>
      </c>
      <c r="AF40" s="143" t="e">
        <f>IF(AND(#REF!="Baja",#REF!="Mayor"),CONCATENATE("R5C",#REF!),"")</f>
        <v>#REF!</v>
      </c>
      <c r="AG40" s="144" t="e">
        <f>IF(AND(#REF!="Baja",#REF!="Mayor"),CONCATENATE("R5C",#REF!),"")</f>
        <v>#REF!</v>
      </c>
      <c r="AH40" s="145" t="e">
        <f>IF(AND(#REF!="Baja",#REF!="Catastrófico"),CONCATENATE("R5C",#REF!),"")</f>
        <v>#REF!</v>
      </c>
      <c r="AI40" s="146" t="e">
        <f>IF(AND(#REF!="Baja",#REF!="Catastrófico"),CONCATENATE("R5C",#REF!),"")</f>
        <v>#REF!</v>
      </c>
      <c r="AJ40" s="146" t="e">
        <f>IF(AND(#REF!="Baja",#REF!="Catastrófico"),CONCATENATE("R5C",#REF!),"")</f>
        <v>#REF!</v>
      </c>
      <c r="AK40" s="146" t="e">
        <f>IF(AND(#REF!="Baja",#REF!="Catastrófico"),CONCATENATE("R5C",#REF!),"")</f>
        <v>#REF!</v>
      </c>
      <c r="AL40" s="146" t="e">
        <f>IF(AND(#REF!="Baja",#REF!="Catastrófico"),CONCATENATE("R5C",#REF!),"")</f>
        <v>#REF!</v>
      </c>
      <c r="AM40" s="147" t="e">
        <f>IF(AND(#REF!="Baja",#REF!="Catastrófico"),CONCATENATE("R5C",#REF!),"")</f>
        <v>#REF!</v>
      </c>
      <c r="AN40" s="115"/>
      <c r="AO40" s="684"/>
      <c r="AP40" s="670"/>
      <c r="AQ40" s="670"/>
      <c r="AR40" s="670"/>
      <c r="AS40" s="670"/>
      <c r="AT40" s="685"/>
      <c r="AU40" s="115"/>
      <c r="AV40" s="115"/>
      <c r="AW40" s="115"/>
      <c r="AX40" s="115"/>
      <c r="AY40" s="115"/>
      <c r="AZ40" s="115"/>
      <c r="BA40" s="115"/>
      <c r="BB40" s="115"/>
      <c r="BC40" s="115"/>
      <c r="BD40" s="115"/>
      <c r="BE40" s="115"/>
      <c r="BF40" s="115"/>
      <c r="BG40" s="115"/>
      <c r="BH40" s="115"/>
      <c r="BI40" s="115"/>
    </row>
    <row r="41" spans="1:61" ht="15" customHeight="1" x14ac:dyDescent="0.25">
      <c r="A41" s="115"/>
      <c r="B41" s="654"/>
      <c r="C41" s="670"/>
      <c r="D41" s="653"/>
      <c r="E41" s="659"/>
      <c r="F41" s="670"/>
      <c r="G41" s="670"/>
      <c r="H41" s="670"/>
      <c r="I41" s="670"/>
      <c r="J41" s="160" t="e">
        <f>IF(AND(#REF!="Baja",#REF!="Leve"),CONCATENATE("R6C",#REF!),"")</f>
        <v>#REF!</v>
      </c>
      <c r="K41" s="161" t="e">
        <f>IF(AND(#REF!="Baja",#REF!="Leve"),CONCATENATE("R6C",#REF!),"")</f>
        <v>#REF!</v>
      </c>
      <c r="L41" s="161" t="e">
        <f>IF(AND(#REF!="Baja",#REF!="Leve"),CONCATENATE("R6C",#REF!),"")</f>
        <v>#REF!</v>
      </c>
      <c r="M41" s="161" t="e">
        <f>IF(AND(#REF!="Baja",#REF!="Leve"),CONCATENATE("R6C",#REF!),"")</f>
        <v>#REF!</v>
      </c>
      <c r="N41" s="161" t="e">
        <f>IF(AND(#REF!="Baja",#REF!="Leve"),CONCATENATE("R6C",#REF!),"")</f>
        <v>#REF!</v>
      </c>
      <c r="O41" s="162" t="e">
        <f>IF(AND(#REF!="Baja",#REF!="Leve"),CONCATENATE("R6C",#REF!),"")</f>
        <v>#REF!</v>
      </c>
      <c r="P41" s="154" t="e">
        <f>IF(AND(#REF!="Baja",#REF!="Menor"),CONCATENATE("R6C",#REF!),"")</f>
        <v>#REF!</v>
      </c>
      <c r="Q41" s="155" t="e">
        <f>IF(AND(#REF!="Baja",#REF!="Menor"),CONCATENATE("R6C",#REF!),"")</f>
        <v>#REF!</v>
      </c>
      <c r="R41" s="155" t="e">
        <f>IF(AND(#REF!="Baja",#REF!="Menor"),CONCATENATE("R6C",#REF!),"")</f>
        <v>#REF!</v>
      </c>
      <c r="S41" s="155" t="e">
        <f>IF(AND(#REF!="Baja",#REF!="Menor"),CONCATENATE("R6C",#REF!),"")</f>
        <v>#REF!</v>
      </c>
      <c r="T41" s="155" t="e">
        <f>IF(AND(#REF!="Baja",#REF!="Menor"),CONCATENATE("R6C",#REF!),"")</f>
        <v>#REF!</v>
      </c>
      <c r="U41" s="156" t="e">
        <f>IF(AND(#REF!="Baja",#REF!="Menor"),CONCATENATE("R6C",#REF!),"")</f>
        <v>#REF!</v>
      </c>
      <c r="V41" s="154" t="e">
        <f>IF(AND(#REF!="Baja",#REF!="Moderado"),CONCATENATE("R6C",#REF!),"")</f>
        <v>#REF!</v>
      </c>
      <c r="W41" s="155" t="e">
        <f>IF(AND(#REF!="Baja",#REF!="Moderado"),CONCATENATE("R6C",#REF!),"")</f>
        <v>#REF!</v>
      </c>
      <c r="X41" s="155" t="e">
        <f>IF(AND(#REF!="Baja",#REF!="Moderado"),CONCATENATE("R6C",#REF!),"")</f>
        <v>#REF!</v>
      </c>
      <c r="Y41" s="155" t="e">
        <f>IF(AND(#REF!="Baja",#REF!="Moderado"),CONCATENATE("R6C",#REF!),"")</f>
        <v>#REF!</v>
      </c>
      <c r="Z41" s="155" t="e">
        <f>IF(AND(#REF!="Baja",#REF!="Moderado"),CONCATENATE("R6C",#REF!),"")</f>
        <v>#REF!</v>
      </c>
      <c r="AA41" s="156" t="e">
        <f>IF(AND(#REF!="Baja",#REF!="Moderado"),CONCATENATE("R6C",#REF!),"")</f>
        <v>#REF!</v>
      </c>
      <c r="AB41" s="142" t="e">
        <f>IF(AND(#REF!="Baja",#REF!="Mayor"),CONCATENATE("R6C",#REF!),"")</f>
        <v>#REF!</v>
      </c>
      <c r="AC41" s="143" t="e">
        <f>IF(AND(#REF!="Baja",#REF!="Mayor"),CONCATENATE("R6C",#REF!),"")</f>
        <v>#REF!</v>
      </c>
      <c r="AD41" s="143" t="e">
        <f>IF(AND(#REF!="Baja",#REF!="Mayor"),CONCATENATE("R6C",#REF!),"")</f>
        <v>#REF!</v>
      </c>
      <c r="AE41" s="143" t="e">
        <f>IF(AND(#REF!="Baja",#REF!="Mayor"),CONCATENATE("R6C",#REF!),"")</f>
        <v>#REF!</v>
      </c>
      <c r="AF41" s="143" t="e">
        <f>IF(AND(#REF!="Baja",#REF!="Mayor"),CONCATENATE("R6C",#REF!),"")</f>
        <v>#REF!</v>
      </c>
      <c r="AG41" s="144" t="e">
        <f>IF(AND(#REF!="Baja",#REF!="Mayor"),CONCATENATE("R6C",#REF!),"")</f>
        <v>#REF!</v>
      </c>
      <c r="AH41" s="145" t="e">
        <f>IF(AND(#REF!="Baja",#REF!="Catastrófico"),CONCATENATE("R6C",#REF!),"")</f>
        <v>#REF!</v>
      </c>
      <c r="AI41" s="146" t="e">
        <f>IF(AND(#REF!="Baja",#REF!="Catastrófico"),CONCATENATE("R6C",#REF!),"")</f>
        <v>#REF!</v>
      </c>
      <c r="AJ41" s="146" t="e">
        <f>IF(AND(#REF!="Baja",#REF!="Catastrófico"),CONCATENATE("R6C",#REF!),"")</f>
        <v>#REF!</v>
      </c>
      <c r="AK41" s="146" t="e">
        <f>IF(AND(#REF!="Baja",#REF!="Catastrófico"),CONCATENATE("R6C",#REF!),"")</f>
        <v>#REF!</v>
      </c>
      <c r="AL41" s="146" t="e">
        <f>IF(AND(#REF!="Baja",#REF!="Catastrófico"),CONCATENATE("R6C",#REF!),"")</f>
        <v>#REF!</v>
      </c>
      <c r="AM41" s="147" t="e">
        <f>IF(AND(#REF!="Baja",#REF!="Catastrófico"),CONCATENATE("R6C",#REF!),"")</f>
        <v>#REF!</v>
      </c>
      <c r="AN41" s="115"/>
      <c r="AO41" s="684"/>
      <c r="AP41" s="670"/>
      <c r="AQ41" s="670"/>
      <c r="AR41" s="670"/>
      <c r="AS41" s="670"/>
      <c r="AT41" s="685"/>
      <c r="AU41" s="115"/>
      <c r="AV41" s="115"/>
      <c r="AW41" s="115"/>
      <c r="AX41" s="115"/>
      <c r="AY41" s="115"/>
      <c r="AZ41" s="115"/>
      <c r="BA41" s="115"/>
      <c r="BB41" s="115"/>
      <c r="BC41" s="115"/>
      <c r="BD41" s="115"/>
      <c r="BE41" s="115"/>
      <c r="BF41" s="115"/>
      <c r="BG41" s="115"/>
      <c r="BH41" s="115"/>
      <c r="BI41" s="115"/>
    </row>
    <row r="42" spans="1:61" ht="15" customHeight="1" x14ac:dyDescent="0.25">
      <c r="A42" s="115"/>
      <c r="B42" s="654"/>
      <c r="C42" s="670"/>
      <c r="D42" s="653"/>
      <c r="E42" s="659"/>
      <c r="F42" s="670"/>
      <c r="G42" s="670"/>
      <c r="H42" s="670"/>
      <c r="I42" s="670"/>
      <c r="J42" s="160" t="e">
        <f>IF(AND(#REF!="Baja",#REF!="Leve"),CONCATENATE("R7C",#REF!),"")</f>
        <v>#REF!</v>
      </c>
      <c r="K42" s="161" t="e">
        <f>IF(AND(#REF!="Baja",#REF!="Leve"),CONCATENATE("R7C",#REF!),"")</f>
        <v>#REF!</v>
      </c>
      <c r="L42" s="161" t="e">
        <f>IF(AND(#REF!="Baja",#REF!="Leve"),CONCATENATE("R7C",#REF!),"")</f>
        <v>#REF!</v>
      </c>
      <c r="M42" s="161" t="e">
        <f>IF(AND(#REF!="Baja",#REF!="Leve"),CONCATENATE("R7C",#REF!),"")</f>
        <v>#REF!</v>
      </c>
      <c r="N42" s="161" t="e">
        <f>IF(AND(#REF!="Baja",#REF!="Leve"),CONCATENATE("R7C",#REF!),"")</f>
        <v>#REF!</v>
      </c>
      <c r="O42" s="162" t="e">
        <f>IF(AND(#REF!="Baja",#REF!="Leve"),CONCATENATE("R7C",#REF!),"")</f>
        <v>#REF!</v>
      </c>
      <c r="P42" s="154" t="e">
        <f>IF(AND(#REF!="Baja",#REF!="Menor"),CONCATENATE("R7C",#REF!),"")</f>
        <v>#REF!</v>
      </c>
      <c r="Q42" s="155" t="e">
        <f>IF(AND(#REF!="Baja",#REF!="Menor"),CONCATENATE("R7C",#REF!),"")</f>
        <v>#REF!</v>
      </c>
      <c r="R42" s="155" t="e">
        <f>IF(AND(#REF!="Baja",#REF!="Menor"),CONCATENATE("R7C",#REF!),"")</f>
        <v>#REF!</v>
      </c>
      <c r="S42" s="155" t="e">
        <f>IF(AND(#REF!="Baja",#REF!="Menor"),CONCATENATE("R7C",#REF!),"")</f>
        <v>#REF!</v>
      </c>
      <c r="T42" s="155" t="e">
        <f>IF(AND(#REF!="Baja",#REF!="Menor"),CONCATENATE("R7C",#REF!),"")</f>
        <v>#REF!</v>
      </c>
      <c r="U42" s="156" t="e">
        <f>IF(AND(#REF!="Baja",#REF!="Menor"),CONCATENATE("R7C",#REF!),"")</f>
        <v>#REF!</v>
      </c>
      <c r="V42" s="154" t="e">
        <f>IF(AND(#REF!="Baja",#REF!="Moderado"),CONCATENATE("R7C",#REF!),"")</f>
        <v>#REF!</v>
      </c>
      <c r="W42" s="155" t="e">
        <f>IF(AND(#REF!="Baja",#REF!="Moderado"),CONCATENATE("R7C",#REF!),"")</f>
        <v>#REF!</v>
      </c>
      <c r="X42" s="155" t="e">
        <f>IF(AND(#REF!="Baja",#REF!="Moderado"),CONCATENATE("R7C",#REF!),"")</f>
        <v>#REF!</v>
      </c>
      <c r="Y42" s="155" t="e">
        <f>IF(AND(#REF!="Baja",#REF!="Moderado"),CONCATENATE("R7C",#REF!),"")</f>
        <v>#REF!</v>
      </c>
      <c r="Z42" s="155" t="e">
        <f>IF(AND(#REF!="Baja",#REF!="Moderado"),CONCATENATE("R7C",#REF!),"")</f>
        <v>#REF!</v>
      </c>
      <c r="AA42" s="156" t="e">
        <f>IF(AND(#REF!="Baja",#REF!="Moderado"),CONCATENATE("R7C",#REF!),"")</f>
        <v>#REF!</v>
      </c>
      <c r="AB42" s="142" t="e">
        <f>IF(AND(#REF!="Baja",#REF!="Mayor"),CONCATENATE("R7C",#REF!),"")</f>
        <v>#REF!</v>
      </c>
      <c r="AC42" s="143" t="e">
        <f>IF(AND(#REF!="Baja",#REF!="Mayor"),CONCATENATE("R7C",#REF!),"")</f>
        <v>#REF!</v>
      </c>
      <c r="AD42" s="143" t="e">
        <f>IF(AND(#REF!="Baja",#REF!="Mayor"),CONCATENATE("R7C",#REF!),"")</f>
        <v>#REF!</v>
      </c>
      <c r="AE42" s="143" t="e">
        <f>IF(AND(#REF!="Baja",#REF!="Mayor"),CONCATENATE("R7C",#REF!),"")</f>
        <v>#REF!</v>
      </c>
      <c r="AF42" s="143" t="e">
        <f>IF(AND(#REF!="Baja",#REF!="Mayor"),CONCATENATE("R7C",#REF!),"")</f>
        <v>#REF!</v>
      </c>
      <c r="AG42" s="144" t="e">
        <f>IF(AND(#REF!="Baja",#REF!="Mayor"),CONCATENATE("R7C",#REF!),"")</f>
        <v>#REF!</v>
      </c>
      <c r="AH42" s="145" t="e">
        <f>IF(AND(#REF!="Baja",#REF!="Catastrófico"),CONCATENATE("R7C",#REF!),"")</f>
        <v>#REF!</v>
      </c>
      <c r="AI42" s="146" t="e">
        <f>IF(AND(#REF!="Baja",#REF!="Catastrófico"),CONCATENATE("R7C",#REF!),"")</f>
        <v>#REF!</v>
      </c>
      <c r="AJ42" s="146" t="e">
        <f>IF(AND(#REF!="Baja",#REF!="Catastrófico"),CONCATENATE("R7C",#REF!),"")</f>
        <v>#REF!</v>
      </c>
      <c r="AK42" s="146" t="e">
        <f>IF(AND(#REF!="Baja",#REF!="Catastrófico"),CONCATENATE("R7C",#REF!),"")</f>
        <v>#REF!</v>
      </c>
      <c r="AL42" s="146" t="e">
        <f>IF(AND(#REF!="Baja",#REF!="Catastrófico"),CONCATENATE("R7C",#REF!),"")</f>
        <v>#REF!</v>
      </c>
      <c r="AM42" s="147" t="e">
        <f>IF(AND(#REF!="Baja",#REF!="Catastrófico"),CONCATENATE("R7C",#REF!),"")</f>
        <v>#REF!</v>
      </c>
      <c r="AN42" s="115"/>
      <c r="AO42" s="684"/>
      <c r="AP42" s="670"/>
      <c r="AQ42" s="670"/>
      <c r="AR42" s="670"/>
      <c r="AS42" s="670"/>
      <c r="AT42" s="685"/>
      <c r="AU42" s="115"/>
      <c r="AV42" s="115"/>
      <c r="AW42" s="115"/>
      <c r="AX42" s="115"/>
      <c r="AY42" s="115"/>
      <c r="AZ42" s="115"/>
      <c r="BA42" s="115"/>
      <c r="BB42" s="115"/>
      <c r="BC42" s="115"/>
      <c r="BD42" s="115"/>
      <c r="BE42" s="115"/>
      <c r="BF42" s="115"/>
      <c r="BG42" s="115"/>
      <c r="BH42" s="115"/>
      <c r="BI42" s="115"/>
    </row>
    <row r="43" spans="1:61" ht="15" customHeight="1" x14ac:dyDescent="0.25">
      <c r="A43" s="115"/>
      <c r="B43" s="654"/>
      <c r="C43" s="670"/>
      <c r="D43" s="653"/>
      <c r="E43" s="659"/>
      <c r="F43" s="670"/>
      <c r="G43" s="670"/>
      <c r="H43" s="670"/>
      <c r="I43" s="670"/>
      <c r="J43" s="160" t="e">
        <f>IF(AND(#REF!="Baja",#REF!="Leve"),CONCATENATE("R8C",#REF!),"")</f>
        <v>#REF!</v>
      </c>
      <c r="K43" s="161" t="e">
        <f>IF(AND(#REF!="Baja",#REF!="Leve"),CONCATENATE("R8C",#REF!),"")</f>
        <v>#REF!</v>
      </c>
      <c r="L43" s="161" t="e">
        <f>IF(AND(#REF!="Baja",#REF!="Leve"),CONCATENATE("R8C",#REF!),"")</f>
        <v>#REF!</v>
      </c>
      <c r="M43" s="161" t="e">
        <f>IF(AND(#REF!="Baja",#REF!="Leve"),CONCATENATE("R8C",#REF!),"")</f>
        <v>#REF!</v>
      </c>
      <c r="N43" s="161" t="e">
        <f>IF(AND(#REF!="Baja",#REF!="Leve"),CONCATENATE("R8C",#REF!),"")</f>
        <v>#REF!</v>
      </c>
      <c r="O43" s="162" t="e">
        <f>IF(AND(#REF!="Baja",#REF!="Leve"),CONCATENATE("R8C",#REF!),"")</f>
        <v>#REF!</v>
      </c>
      <c r="P43" s="154" t="e">
        <f>IF(AND(#REF!="Baja",#REF!="Menor"),CONCATENATE("R8C",#REF!),"")</f>
        <v>#REF!</v>
      </c>
      <c r="Q43" s="155" t="e">
        <f>IF(AND(#REF!="Baja",#REF!="Menor"),CONCATENATE("R8C",#REF!),"")</f>
        <v>#REF!</v>
      </c>
      <c r="R43" s="155" t="e">
        <f>IF(AND(#REF!="Baja",#REF!="Menor"),CONCATENATE("R8C",#REF!),"")</f>
        <v>#REF!</v>
      </c>
      <c r="S43" s="155" t="e">
        <f>IF(AND(#REF!="Baja",#REF!="Menor"),CONCATENATE("R8C",#REF!),"")</f>
        <v>#REF!</v>
      </c>
      <c r="T43" s="155" t="e">
        <f>IF(AND(#REF!="Baja",#REF!="Menor"),CONCATENATE("R8C",#REF!),"")</f>
        <v>#REF!</v>
      </c>
      <c r="U43" s="156" t="e">
        <f>IF(AND(#REF!="Baja",#REF!="Menor"),CONCATENATE("R8C",#REF!),"")</f>
        <v>#REF!</v>
      </c>
      <c r="V43" s="154" t="e">
        <f>IF(AND(#REF!="Baja",#REF!="Moderado"),CONCATENATE("R8C",#REF!),"")</f>
        <v>#REF!</v>
      </c>
      <c r="W43" s="155" t="e">
        <f>IF(AND(#REF!="Baja",#REF!="Moderado"),CONCATENATE("R8C",#REF!),"")</f>
        <v>#REF!</v>
      </c>
      <c r="X43" s="155" t="e">
        <f>IF(AND(#REF!="Baja",#REF!="Moderado"),CONCATENATE("R8C",#REF!),"")</f>
        <v>#REF!</v>
      </c>
      <c r="Y43" s="155" t="e">
        <f>IF(AND(#REF!="Baja",#REF!="Moderado"),CONCATENATE("R8C",#REF!),"")</f>
        <v>#REF!</v>
      </c>
      <c r="Z43" s="155" t="e">
        <f>IF(AND(#REF!="Baja",#REF!="Moderado"),CONCATENATE("R8C",#REF!),"")</f>
        <v>#REF!</v>
      </c>
      <c r="AA43" s="156" t="e">
        <f>IF(AND(#REF!="Baja",#REF!="Moderado"),CONCATENATE("R8C",#REF!),"")</f>
        <v>#REF!</v>
      </c>
      <c r="AB43" s="142" t="e">
        <f>IF(AND(#REF!="Baja",#REF!="Mayor"),CONCATENATE("R8C",#REF!),"")</f>
        <v>#REF!</v>
      </c>
      <c r="AC43" s="143" t="e">
        <f>IF(AND(#REF!="Baja",#REF!="Mayor"),CONCATENATE("R8C",#REF!),"")</f>
        <v>#REF!</v>
      </c>
      <c r="AD43" s="143" t="e">
        <f>IF(AND(#REF!="Baja",#REF!="Mayor"),CONCATENATE("R8C",#REF!),"")</f>
        <v>#REF!</v>
      </c>
      <c r="AE43" s="143" t="e">
        <f>IF(AND(#REF!="Baja",#REF!="Mayor"),CONCATENATE("R8C",#REF!),"")</f>
        <v>#REF!</v>
      </c>
      <c r="AF43" s="143" t="e">
        <f>IF(AND(#REF!="Baja",#REF!="Mayor"),CONCATENATE("R8C",#REF!),"")</f>
        <v>#REF!</v>
      </c>
      <c r="AG43" s="144" t="e">
        <f>IF(AND(#REF!="Baja",#REF!="Mayor"),CONCATENATE("R8C",#REF!),"")</f>
        <v>#REF!</v>
      </c>
      <c r="AH43" s="145" t="e">
        <f>IF(AND(#REF!="Baja",#REF!="Catastrófico"),CONCATENATE("R8C",#REF!),"")</f>
        <v>#REF!</v>
      </c>
      <c r="AI43" s="146" t="e">
        <f>IF(AND(#REF!="Baja",#REF!="Catastrófico"),CONCATENATE("R8C",#REF!),"")</f>
        <v>#REF!</v>
      </c>
      <c r="AJ43" s="146" t="e">
        <f>IF(AND(#REF!="Baja",#REF!="Catastrófico"),CONCATENATE("R8C",#REF!),"")</f>
        <v>#REF!</v>
      </c>
      <c r="AK43" s="146" t="e">
        <f>IF(AND(#REF!="Baja",#REF!="Catastrófico"),CONCATENATE("R8C",#REF!),"")</f>
        <v>#REF!</v>
      </c>
      <c r="AL43" s="146" t="e">
        <f>IF(AND(#REF!="Baja",#REF!="Catastrófico"),CONCATENATE("R8C",#REF!),"")</f>
        <v>#REF!</v>
      </c>
      <c r="AM43" s="147" t="e">
        <f>IF(AND(#REF!="Baja",#REF!="Catastrófico"),CONCATENATE("R8C",#REF!),"")</f>
        <v>#REF!</v>
      </c>
      <c r="AN43" s="115"/>
      <c r="AO43" s="684"/>
      <c r="AP43" s="670"/>
      <c r="AQ43" s="670"/>
      <c r="AR43" s="670"/>
      <c r="AS43" s="670"/>
      <c r="AT43" s="685"/>
      <c r="AU43" s="115"/>
      <c r="AV43" s="115"/>
      <c r="AW43" s="115"/>
      <c r="AX43" s="115"/>
      <c r="AY43" s="115"/>
      <c r="AZ43" s="115"/>
      <c r="BA43" s="115"/>
      <c r="BB43" s="115"/>
      <c r="BC43" s="115"/>
      <c r="BD43" s="115"/>
      <c r="BE43" s="115"/>
      <c r="BF43" s="115"/>
      <c r="BG43" s="115"/>
      <c r="BH43" s="115"/>
      <c r="BI43" s="115"/>
    </row>
    <row r="44" spans="1:61" ht="15" customHeight="1" x14ac:dyDescent="0.25">
      <c r="A44" s="115"/>
      <c r="B44" s="654"/>
      <c r="C44" s="670"/>
      <c r="D44" s="653"/>
      <c r="E44" s="659"/>
      <c r="F44" s="670"/>
      <c r="G44" s="670"/>
      <c r="H44" s="670"/>
      <c r="I44" s="670"/>
      <c r="J44" s="160" t="e">
        <f>IF(AND(#REF!="Baja",#REF!="Leve"),CONCATENATE("R9C",#REF!),"")</f>
        <v>#REF!</v>
      </c>
      <c r="K44" s="161" t="e">
        <f>IF(AND(#REF!="Baja",#REF!="Leve"),CONCATENATE("R9C",#REF!),"")</f>
        <v>#REF!</v>
      </c>
      <c r="L44" s="161" t="e">
        <f>IF(AND(#REF!="Baja",#REF!="Leve"),CONCATENATE("R9C",#REF!),"")</f>
        <v>#REF!</v>
      </c>
      <c r="M44" s="161" t="e">
        <f>IF(AND(#REF!="Baja",#REF!="Leve"),CONCATENATE("R9C",#REF!),"")</f>
        <v>#REF!</v>
      </c>
      <c r="N44" s="161" t="e">
        <f>IF(AND(#REF!="Baja",#REF!="Leve"),CONCATENATE("R9C",#REF!),"")</f>
        <v>#REF!</v>
      </c>
      <c r="O44" s="162" t="e">
        <f>IF(AND(#REF!="Baja",#REF!="Leve"),CONCATENATE("R9C",#REF!),"")</f>
        <v>#REF!</v>
      </c>
      <c r="P44" s="154" t="e">
        <f>IF(AND(#REF!="Baja",#REF!="Menor"),CONCATENATE("R9C",#REF!),"")</f>
        <v>#REF!</v>
      </c>
      <c r="Q44" s="155" t="e">
        <f>IF(AND(#REF!="Baja",#REF!="Menor"),CONCATENATE("R9C",#REF!),"")</f>
        <v>#REF!</v>
      </c>
      <c r="R44" s="155" t="e">
        <f>IF(AND(#REF!="Baja",#REF!="Menor"),CONCATENATE("R9C",#REF!),"")</f>
        <v>#REF!</v>
      </c>
      <c r="S44" s="155" t="e">
        <f>IF(AND(#REF!="Baja",#REF!="Menor"),CONCATENATE("R9C",#REF!),"")</f>
        <v>#REF!</v>
      </c>
      <c r="T44" s="155" t="e">
        <f>IF(AND(#REF!="Baja",#REF!="Menor"),CONCATENATE("R9C",#REF!),"")</f>
        <v>#REF!</v>
      </c>
      <c r="U44" s="156" t="e">
        <f>IF(AND(#REF!="Baja",#REF!="Menor"),CONCATENATE("R9C",#REF!),"")</f>
        <v>#REF!</v>
      </c>
      <c r="V44" s="154" t="e">
        <f>IF(AND(#REF!="Baja",#REF!="Moderado"),CONCATENATE("R9C",#REF!),"")</f>
        <v>#REF!</v>
      </c>
      <c r="W44" s="155" t="e">
        <f>IF(AND(#REF!="Baja",#REF!="Moderado"),CONCATENATE("R9C",#REF!),"")</f>
        <v>#REF!</v>
      </c>
      <c r="X44" s="155" t="e">
        <f>IF(AND(#REF!="Baja",#REF!="Moderado"),CONCATENATE("R9C",#REF!),"")</f>
        <v>#REF!</v>
      </c>
      <c r="Y44" s="155" t="e">
        <f>IF(AND(#REF!="Baja",#REF!="Moderado"),CONCATENATE("R9C",#REF!),"")</f>
        <v>#REF!</v>
      </c>
      <c r="Z44" s="155" t="e">
        <f>IF(AND(#REF!="Baja",#REF!="Moderado"),CONCATENATE("R9C",#REF!),"")</f>
        <v>#REF!</v>
      </c>
      <c r="AA44" s="156" t="e">
        <f>IF(AND(#REF!="Baja",#REF!="Moderado"),CONCATENATE("R9C",#REF!),"")</f>
        <v>#REF!</v>
      </c>
      <c r="AB44" s="142" t="e">
        <f>IF(AND(#REF!="Baja",#REF!="Mayor"),CONCATENATE("R9C",#REF!),"")</f>
        <v>#REF!</v>
      </c>
      <c r="AC44" s="143" t="e">
        <f>IF(AND(#REF!="Baja",#REF!="Mayor"),CONCATENATE("R9C",#REF!),"")</f>
        <v>#REF!</v>
      </c>
      <c r="AD44" s="143" t="e">
        <f>IF(AND(#REF!="Baja",#REF!="Mayor"),CONCATENATE("R9C",#REF!),"")</f>
        <v>#REF!</v>
      </c>
      <c r="AE44" s="143" t="e">
        <f>IF(AND(#REF!="Baja",#REF!="Mayor"),CONCATENATE("R9C",#REF!),"")</f>
        <v>#REF!</v>
      </c>
      <c r="AF44" s="143" t="e">
        <f>IF(AND(#REF!="Baja",#REF!="Mayor"),CONCATENATE("R9C",#REF!),"")</f>
        <v>#REF!</v>
      </c>
      <c r="AG44" s="144" t="e">
        <f>IF(AND(#REF!="Baja",#REF!="Mayor"),CONCATENATE("R9C",#REF!),"")</f>
        <v>#REF!</v>
      </c>
      <c r="AH44" s="145" t="e">
        <f>IF(AND(#REF!="Baja",#REF!="Catastrófico"),CONCATENATE("R9C",#REF!),"")</f>
        <v>#REF!</v>
      </c>
      <c r="AI44" s="146" t="e">
        <f>IF(AND(#REF!="Baja",#REF!="Catastrófico"),CONCATENATE("R9C",#REF!),"")</f>
        <v>#REF!</v>
      </c>
      <c r="AJ44" s="146" t="e">
        <f>IF(AND(#REF!="Baja",#REF!="Catastrófico"),CONCATENATE("R9C",#REF!),"")</f>
        <v>#REF!</v>
      </c>
      <c r="AK44" s="146" t="e">
        <f>IF(AND(#REF!="Baja",#REF!="Catastrófico"),CONCATENATE("R9C",#REF!),"")</f>
        <v>#REF!</v>
      </c>
      <c r="AL44" s="146" t="e">
        <f>IF(AND(#REF!="Baja",#REF!="Catastrófico"),CONCATENATE("R9C",#REF!),"")</f>
        <v>#REF!</v>
      </c>
      <c r="AM44" s="147" t="e">
        <f>IF(AND(#REF!="Baja",#REF!="Catastrófico"),CONCATENATE("R9C",#REF!),"")</f>
        <v>#REF!</v>
      </c>
      <c r="AN44" s="115"/>
      <c r="AO44" s="684"/>
      <c r="AP44" s="670"/>
      <c r="AQ44" s="670"/>
      <c r="AR44" s="670"/>
      <c r="AS44" s="670"/>
      <c r="AT44" s="685"/>
      <c r="AU44" s="115"/>
      <c r="AV44" s="115"/>
      <c r="AW44" s="115"/>
      <c r="AX44" s="115"/>
      <c r="AY44" s="115"/>
      <c r="AZ44" s="115"/>
      <c r="BA44" s="115"/>
      <c r="BB44" s="115"/>
      <c r="BC44" s="115"/>
      <c r="BD44" s="115"/>
      <c r="BE44" s="115"/>
      <c r="BF44" s="115"/>
      <c r="BG44" s="115"/>
      <c r="BH44" s="115"/>
      <c r="BI44" s="115"/>
    </row>
    <row r="45" spans="1:61" ht="15.75" customHeight="1" thickBot="1" x14ac:dyDescent="0.3">
      <c r="A45" s="115"/>
      <c r="B45" s="654"/>
      <c r="C45" s="670"/>
      <c r="D45" s="653"/>
      <c r="E45" s="671"/>
      <c r="F45" s="672"/>
      <c r="G45" s="672"/>
      <c r="H45" s="672"/>
      <c r="I45" s="672"/>
      <c r="J45" s="163" t="e">
        <f>IF(AND(#REF!="Baja",#REF!="Leve"),CONCATENATE("R10C",#REF!),"")</f>
        <v>#REF!</v>
      </c>
      <c r="K45" s="164" t="e">
        <f>IF(AND(#REF!="Baja",#REF!="Leve"),CONCATENATE("R10C",#REF!),"")</f>
        <v>#REF!</v>
      </c>
      <c r="L45" s="164" t="e">
        <f>IF(AND(#REF!="Baja",#REF!="Leve"),CONCATENATE("R10C",#REF!),"")</f>
        <v>#REF!</v>
      </c>
      <c r="M45" s="164" t="e">
        <f>IF(AND(#REF!="Baja",#REF!="Leve"),CONCATENATE("R10C",#REF!),"")</f>
        <v>#REF!</v>
      </c>
      <c r="N45" s="164" t="e">
        <f>IF(AND(#REF!="Baja",#REF!="Leve"),CONCATENATE("R10C",#REF!),"")</f>
        <v>#REF!</v>
      </c>
      <c r="O45" s="165" t="e">
        <f>IF(AND(#REF!="Baja",#REF!="Leve"),CONCATENATE("R10C",#REF!),"")</f>
        <v>#REF!</v>
      </c>
      <c r="P45" s="154" t="e">
        <f>IF(AND(#REF!="Baja",#REF!="Menor"),CONCATENATE("R10C",#REF!),"")</f>
        <v>#REF!</v>
      </c>
      <c r="Q45" s="155" t="e">
        <f>IF(AND(#REF!="Baja",#REF!="Menor"),CONCATENATE("R10C",#REF!),"")</f>
        <v>#REF!</v>
      </c>
      <c r="R45" s="155" t="e">
        <f>IF(AND(#REF!="Baja",#REF!="Menor"),CONCATENATE("R10C",#REF!),"")</f>
        <v>#REF!</v>
      </c>
      <c r="S45" s="155" t="e">
        <f>IF(AND(#REF!="Baja",#REF!="Menor"),CONCATENATE("R10C",#REF!),"")</f>
        <v>#REF!</v>
      </c>
      <c r="T45" s="155" t="e">
        <f>IF(AND(#REF!="Baja",#REF!="Menor"),CONCATENATE("R10C",#REF!),"")</f>
        <v>#REF!</v>
      </c>
      <c r="U45" s="156" t="e">
        <f>IF(AND(#REF!="Baja",#REF!="Menor"),CONCATENATE("R10C",#REF!),"")</f>
        <v>#REF!</v>
      </c>
      <c r="V45" s="157" t="e">
        <f>IF(AND(#REF!="Baja",#REF!="Moderado"),CONCATENATE("R10C",#REF!),"")</f>
        <v>#REF!</v>
      </c>
      <c r="W45" s="158" t="e">
        <f>IF(AND(#REF!="Baja",#REF!="Moderado"),CONCATENATE("R10C",#REF!),"")</f>
        <v>#REF!</v>
      </c>
      <c r="X45" s="158" t="e">
        <f>IF(AND(#REF!="Baja",#REF!="Moderado"),CONCATENATE("R10C",#REF!),"")</f>
        <v>#REF!</v>
      </c>
      <c r="Y45" s="158" t="e">
        <f>IF(AND(#REF!="Baja",#REF!="Moderado"),CONCATENATE("R10C",#REF!),"")</f>
        <v>#REF!</v>
      </c>
      <c r="Z45" s="158" t="e">
        <f>IF(AND(#REF!="Baja",#REF!="Moderado"),CONCATENATE("R10C",#REF!),"")</f>
        <v>#REF!</v>
      </c>
      <c r="AA45" s="159" t="e">
        <f>IF(AND(#REF!="Baja",#REF!="Moderado"),CONCATENATE("R10C",#REF!),"")</f>
        <v>#REF!</v>
      </c>
      <c r="AB45" s="148" t="e">
        <f>IF(AND(#REF!="Baja",#REF!="Mayor"),CONCATENATE("R10C",#REF!),"")</f>
        <v>#REF!</v>
      </c>
      <c r="AC45" s="149" t="e">
        <f>IF(AND(#REF!="Baja",#REF!="Mayor"),CONCATENATE("R10C",#REF!),"")</f>
        <v>#REF!</v>
      </c>
      <c r="AD45" s="149" t="e">
        <f>IF(AND(#REF!="Baja",#REF!="Mayor"),CONCATENATE("R10C",#REF!),"")</f>
        <v>#REF!</v>
      </c>
      <c r="AE45" s="149" t="e">
        <f>IF(AND(#REF!="Baja",#REF!="Mayor"),CONCATENATE("R10C",#REF!),"")</f>
        <v>#REF!</v>
      </c>
      <c r="AF45" s="149" t="e">
        <f>IF(AND(#REF!="Baja",#REF!="Mayor"),CONCATENATE("R10C",#REF!),"")</f>
        <v>#REF!</v>
      </c>
      <c r="AG45" s="150" t="e">
        <f>IF(AND(#REF!="Baja",#REF!="Mayor"),CONCATENATE("R10C",#REF!),"")</f>
        <v>#REF!</v>
      </c>
      <c r="AH45" s="151" t="e">
        <f>IF(AND(#REF!="Baja",#REF!="Catastrófico"),CONCATENATE("R10C",#REF!),"")</f>
        <v>#REF!</v>
      </c>
      <c r="AI45" s="152" t="e">
        <f>IF(AND(#REF!="Baja",#REF!="Catastrófico"),CONCATENATE("R10C",#REF!),"")</f>
        <v>#REF!</v>
      </c>
      <c r="AJ45" s="152" t="e">
        <f>IF(AND(#REF!="Baja",#REF!="Catastrófico"),CONCATENATE("R10C",#REF!),"")</f>
        <v>#REF!</v>
      </c>
      <c r="AK45" s="152" t="e">
        <f>IF(AND(#REF!="Baja",#REF!="Catastrófico"),CONCATENATE("R10C",#REF!),"")</f>
        <v>#REF!</v>
      </c>
      <c r="AL45" s="152" t="e">
        <f>IF(AND(#REF!="Baja",#REF!="Catastrófico"),CONCATENATE("R10C",#REF!),"")</f>
        <v>#REF!</v>
      </c>
      <c r="AM45" s="153" t="e">
        <f>IF(AND(#REF!="Baja",#REF!="Catastrófico"),CONCATENATE("R10C",#REF!),"")</f>
        <v>#REF!</v>
      </c>
      <c r="AN45" s="115"/>
      <c r="AO45" s="686"/>
      <c r="AP45" s="687"/>
      <c r="AQ45" s="687"/>
      <c r="AR45" s="687"/>
      <c r="AS45" s="687"/>
      <c r="AT45" s="688"/>
    </row>
    <row r="46" spans="1:61" ht="46.5" customHeight="1" x14ac:dyDescent="0.35">
      <c r="A46" s="115"/>
      <c r="B46" s="654"/>
      <c r="C46" s="670"/>
      <c r="D46" s="653"/>
      <c r="E46" s="693" t="s">
        <v>11</v>
      </c>
      <c r="F46" s="656"/>
      <c r="G46" s="656"/>
      <c r="H46" s="656"/>
      <c r="I46" s="657"/>
      <c r="J46" s="28" t="e">
        <f>IF(AND(#REF!="Muy Baja",#REF!="Leve"),CONCATENATE("R1C",#REF!),"")</f>
        <v>#REF!</v>
      </c>
      <c r="K46" s="29" t="e">
        <f>IF(AND(#REF!="Muy Baja",#REF!="Leve"),CONCATENATE("R1C",#REF!),"")</f>
        <v>#REF!</v>
      </c>
      <c r="L46" s="29" t="e">
        <f>IF(AND(#REF!="Muy Baja",#REF!="Leve"),CONCATENATE("R1C",#REF!),"")</f>
        <v>#REF!</v>
      </c>
      <c r="M46" s="29" t="e">
        <f>IF(AND(#REF!="Muy Baja",#REF!="Leve"),CONCATENATE("R1C",#REF!),"")</f>
        <v>#REF!</v>
      </c>
      <c r="N46" s="29" t="e">
        <f>IF(AND(#REF!="Muy Baja",#REF!="Leve"),CONCATENATE("R1C",#REF!),"")</f>
        <v>#REF!</v>
      </c>
      <c r="O46" s="30" t="e">
        <f>IF(AND(#REF!="Muy Baja",#REF!="Leve"),CONCATENATE("R1C",#REF!),"")</f>
        <v>#REF!</v>
      </c>
      <c r="P46" s="28" t="e">
        <f>IF(AND(#REF!="Muy Baja",#REF!="Menor"),CONCATENATE("R1C",#REF!),"")</f>
        <v>#REF!</v>
      </c>
      <c r="Q46" s="29" t="e">
        <f>IF(AND(#REF!="Muy Baja",#REF!="Menor"),CONCATENATE("R1C",#REF!),"")</f>
        <v>#REF!</v>
      </c>
      <c r="R46" s="29" t="e">
        <f>IF(AND(#REF!="Muy Baja",#REF!="Menor"),CONCATENATE("R1C",#REF!),"")</f>
        <v>#REF!</v>
      </c>
      <c r="S46" s="29" t="e">
        <f>IF(AND(#REF!="Muy Baja",#REF!="Menor"),CONCATENATE("R1C",#REF!),"")</f>
        <v>#REF!</v>
      </c>
      <c r="T46" s="29" t="e">
        <f>IF(AND(#REF!="Muy Baja",#REF!="Menor"),CONCATENATE("R1C",#REF!),"")</f>
        <v>#REF!</v>
      </c>
      <c r="U46" s="30" t="e">
        <f>IF(AND(#REF!="Muy Baja",#REF!="Menor"),CONCATENATE("R1C",#REF!),"")</f>
        <v>#REF!</v>
      </c>
      <c r="V46" s="25" t="e">
        <f>IF(AND(#REF!="Muy Baja",#REF!="Moderado"),CONCATENATE("R1C",#REF!),"")</f>
        <v>#REF!</v>
      </c>
      <c r="W46" s="31" t="e">
        <f>IF(AND(#REF!="Muy Baja",#REF!="Moderado"),CONCATENATE("R1C",#REF!),"")</f>
        <v>#REF!</v>
      </c>
      <c r="X46" s="26" t="e">
        <f>IF(AND(#REF!="Muy Baja",#REF!="Moderado"),CONCATENATE("R1C",#REF!),"")</f>
        <v>#REF!</v>
      </c>
      <c r="Y46" s="26" t="e">
        <f>IF(AND(#REF!="Muy Baja",#REF!="Moderado"),CONCATENATE("R1C",#REF!),"")</f>
        <v>#REF!</v>
      </c>
      <c r="Z46" s="26" t="e">
        <f>IF(AND(#REF!="Muy Baja",#REF!="Moderado"),CONCATENATE("R1C",#REF!),"")</f>
        <v>#REF!</v>
      </c>
      <c r="AA46" s="27" t="e">
        <f>IF(AND(#REF!="Muy Baja",#REF!="Moderado"),CONCATENATE("R1C",#REF!),"")</f>
        <v>#REF!</v>
      </c>
      <c r="AB46" s="19" t="e">
        <f>IF(AND(#REF!="Muy Baja",#REF!="Mayor"),CONCATENATE("R1C",#REF!),"")</f>
        <v>#REF!</v>
      </c>
      <c r="AC46" s="20" t="e">
        <f>IF(AND(#REF!="Muy Baja",#REF!="Mayor"),CONCATENATE("R1C",#REF!),"")</f>
        <v>#REF!</v>
      </c>
      <c r="AD46" s="20" t="e">
        <f>IF(AND(#REF!="Muy Baja",#REF!="Mayor"),CONCATENATE("R1C",#REF!),"")</f>
        <v>#REF!</v>
      </c>
      <c r="AE46" s="20" t="e">
        <f>IF(AND(#REF!="Muy Baja",#REF!="Mayor"),CONCATENATE("R1C",#REF!),"")</f>
        <v>#REF!</v>
      </c>
      <c r="AF46" s="20" t="e">
        <f>IF(AND(#REF!="Muy Baja",#REF!="Mayor"),CONCATENATE("R1C",#REF!),"")</f>
        <v>#REF!</v>
      </c>
      <c r="AG46" s="21" t="e">
        <f>IF(AND(#REF!="Muy Baja",#REF!="Mayor"),CONCATENATE("R1C",#REF!),"")</f>
        <v>#REF!</v>
      </c>
      <c r="AH46" s="22" t="e">
        <f>IF(AND(#REF!="Muy Baja",#REF!="Catastrófico"),CONCATENATE("R1C",#REF!),"")</f>
        <v>#REF!</v>
      </c>
      <c r="AI46" s="23" t="e">
        <f>IF(AND(#REF!="Muy Baja",#REF!="Catastrófico"),CONCATENATE("R1C",#REF!),"")</f>
        <v>#REF!</v>
      </c>
      <c r="AJ46" s="23" t="e">
        <f>IF(AND(#REF!="Muy Baja",#REF!="Catastrófico"),CONCATENATE("R1C",#REF!),"")</f>
        <v>#REF!</v>
      </c>
      <c r="AK46" s="23" t="e">
        <f>IF(AND(#REF!="Muy Baja",#REF!="Catastrófico"),CONCATENATE("R1C",#REF!),"")</f>
        <v>#REF!</v>
      </c>
      <c r="AL46" s="23" t="e">
        <f>IF(AND(#REF!="Muy Baja",#REF!="Catastrófico"),CONCATENATE("R1C",#REF!),"")</f>
        <v>#REF!</v>
      </c>
      <c r="AM46" s="24" t="e">
        <f>IF(AND(#REF!="Muy Baja",#REF!="Catastrófico"),CONCATENATE("R1C",#REF!),"")</f>
        <v>#REF!</v>
      </c>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row>
    <row r="47" spans="1:61" ht="46.5" customHeight="1" x14ac:dyDescent="0.25">
      <c r="A47" s="115"/>
      <c r="B47" s="654"/>
      <c r="C47" s="670"/>
      <c r="D47" s="653"/>
      <c r="E47" s="659"/>
      <c r="F47" s="670"/>
      <c r="G47" s="670"/>
      <c r="H47" s="670"/>
      <c r="I47" s="653"/>
      <c r="J47" s="160" t="e">
        <f>IF(AND(#REF!="Muy Baja",#REF!="Leve"),CONCATENATE("R2C",#REF!),"")</f>
        <v>#REF!</v>
      </c>
      <c r="K47" s="161" t="e">
        <f>IF(AND(#REF!="Muy Baja",#REF!="Leve"),CONCATENATE("R2C",#REF!),"")</f>
        <v>#REF!</v>
      </c>
      <c r="L47" s="161" t="e">
        <f>IF(AND(#REF!="Muy Baja",#REF!="Leve"),CONCATENATE("R2C",#REF!),"")</f>
        <v>#REF!</v>
      </c>
      <c r="M47" s="161" t="e">
        <f>IF(AND(#REF!="Muy Baja",#REF!="Leve"),CONCATENATE("R2C",#REF!),"")</f>
        <v>#REF!</v>
      </c>
      <c r="N47" s="161" t="e">
        <f>IF(AND(#REF!="Muy Baja",#REF!="Leve"),CONCATENATE("R2C",#REF!),"")</f>
        <v>#REF!</v>
      </c>
      <c r="O47" s="162" t="e">
        <f>IF(AND(#REF!="Muy Baja",#REF!="Leve"),CONCATENATE("R2C",#REF!),"")</f>
        <v>#REF!</v>
      </c>
      <c r="P47" s="160" t="e">
        <f>IF(AND(#REF!="Muy Baja",#REF!="Menor"),CONCATENATE("R2C",#REF!),"")</f>
        <v>#REF!</v>
      </c>
      <c r="Q47" s="161" t="e">
        <f>IF(AND(#REF!="Muy Baja",#REF!="Menor"),CONCATENATE("R2C",#REF!),"")</f>
        <v>#REF!</v>
      </c>
      <c r="R47" s="161" t="e">
        <f>IF(AND(#REF!="Muy Baja",#REF!="Menor"),CONCATENATE("R2C",#REF!),"")</f>
        <v>#REF!</v>
      </c>
      <c r="S47" s="161" t="e">
        <f>IF(AND(#REF!="Muy Baja",#REF!="Menor"),CONCATENATE("R2C",#REF!),"")</f>
        <v>#REF!</v>
      </c>
      <c r="T47" s="161" t="e">
        <f>IF(AND(#REF!="Muy Baja",#REF!="Menor"),CONCATENATE("R2C",#REF!),"")</f>
        <v>#REF!</v>
      </c>
      <c r="U47" s="162" t="e">
        <f>IF(AND(#REF!="Muy Baja",#REF!="Menor"),CONCATENATE("R2C",#REF!),"")</f>
        <v>#REF!</v>
      </c>
      <c r="V47" s="154" t="e">
        <f>IF(AND(#REF!="Muy Baja",#REF!="Moderado"),CONCATENATE("R2C",#REF!),"")</f>
        <v>#REF!</v>
      </c>
      <c r="W47" s="155" t="e">
        <f>IF(AND(#REF!="Muy Baja",#REF!="Moderado"),CONCATENATE("R2C",#REF!),"")</f>
        <v>#REF!</v>
      </c>
      <c r="X47" s="155" t="e">
        <f>IF(AND(#REF!="Muy Baja",#REF!="Moderado"),CONCATENATE("R2C",#REF!),"")</f>
        <v>#REF!</v>
      </c>
      <c r="Y47" s="155" t="e">
        <f>IF(AND(#REF!="Muy Baja",#REF!="Moderado"),CONCATENATE("R2C",#REF!),"")</f>
        <v>#REF!</v>
      </c>
      <c r="Z47" s="155" t="e">
        <f>IF(AND(#REF!="Muy Baja",#REF!="Moderado"),CONCATENATE("R2C",#REF!),"")</f>
        <v>#REF!</v>
      </c>
      <c r="AA47" s="156" t="e">
        <f>IF(AND(#REF!="Muy Baja",#REF!="Moderado"),CONCATENATE("R2C",#REF!),"")</f>
        <v>#REF!</v>
      </c>
      <c r="AB47" s="142" t="e">
        <f>IF(AND(#REF!="Muy Baja",#REF!="Mayor"),CONCATENATE("R2C",#REF!),"")</f>
        <v>#REF!</v>
      </c>
      <c r="AC47" s="143" t="e">
        <f>IF(AND(#REF!="Muy Baja",#REF!="Mayor"),CONCATENATE("R2C",#REF!),"")</f>
        <v>#REF!</v>
      </c>
      <c r="AD47" s="143" t="e">
        <f>IF(AND(#REF!="Muy Baja",#REF!="Mayor"),CONCATENATE("R2C",#REF!),"")</f>
        <v>#REF!</v>
      </c>
      <c r="AE47" s="143" t="e">
        <f>IF(AND(#REF!="Muy Baja",#REF!="Mayor"),CONCATENATE("R2C",#REF!),"")</f>
        <v>#REF!</v>
      </c>
      <c r="AF47" s="143" t="e">
        <f>IF(AND(#REF!="Muy Baja",#REF!="Mayor"),CONCATENATE("R2C",#REF!),"")</f>
        <v>#REF!</v>
      </c>
      <c r="AG47" s="144" t="e">
        <f>IF(AND(#REF!="Muy Baja",#REF!="Mayor"),CONCATENATE("R2C",#REF!),"")</f>
        <v>#REF!</v>
      </c>
      <c r="AH47" s="145" t="e">
        <f>IF(AND(#REF!="Muy Baja",#REF!="Catastrófico"),CONCATENATE("R2C",#REF!),"")</f>
        <v>#REF!</v>
      </c>
      <c r="AI47" s="146" t="e">
        <f>IF(AND(#REF!="Muy Baja",#REF!="Catastrófico"),CONCATENATE("R2C",#REF!),"")</f>
        <v>#REF!</v>
      </c>
      <c r="AJ47" s="146" t="e">
        <f>IF(AND(#REF!="Muy Baja",#REF!="Catastrófico"),CONCATENATE("R2C",#REF!),"")</f>
        <v>#REF!</v>
      </c>
      <c r="AK47" s="146" t="e">
        <f>IF(AND(#REF!="Muy Baja",#REF!="Catastrófico"),CONCATENATE("R2C",#REF!),"")</f>
        <v>#REF!</v>
      </c>
      <c r="AL47" s="146" t="e">
        <f>IF(AND(#REF!="Muy Baja",#REF!="Catastrófico"),CONCATENATE("R2C",#REF!),"")</f>
        <v>#REF!</v>
      </c>
      <c r="AM47" s="147" t="e">
        <f>IF(AND(#REF!="Muy Baja",#REF!="Catastrófico"),CONCATENATE("R2C",#REF!),"")</f>
        <v>#REF!</v>
      </c>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row>
    <row r="48" spans="1:61" ht="15" customHeight="1" x14ac:dyDescent="0.25">
      <c r="A48" s="115"/>
      <c r="B48" s="654"/>
      <c r="C48" s="670"/>
      <c r="D48" s="653"/>
      <c r="E48" s="659"/>
      <c r="F48" s="670"/>
      <c r="G48" s="670"/>
      <c r="H48" s="670"/>
      <c r="I48" s="653"/>
      <c r="J48" s="160" t="e">
        <f>IF(AND(#REF!="Muy Baja",#REF!="Leve"),CONCATENATE("R3C",#REF!),"")</f>
        <v>#REF!</v>
      </c>
      <c r="K48" s="161" t="e">
        <f>IF(AND(#REF!="Muy Baja",#REF!="Leve"),CONCATENATE("R3C",#REF!),"")</f>
        <v>#REF!</v>
      </c>
      <c r="L48" s="161" t="e">
        <f>IF(AND(#REF!="Muy Baja",#REF!="Leve"),CONCATENATE("R3C",#REF!),"")</f>
        <v>#REF!</v>
      </c>
      <c r="M48" s="161" t="e">
        <f>IF(AND(#REF!="Muy Baja",#REF!="Leve"),CONCATENATE("R3C",#REF!),"")</f>
        <v>#REF!</v>
      </c>
      <c r="N48" s="161" t="e">
        <f>IF(AND(#REF!="Muy Baja",#REF!="Leve"),CONCATENATE("R3C",#REF!),"")</f>
        <v>#REF!</v>
      </c>
      <c r="O48" s="162" t="e">
        <f>IF(AND(#REF!="Muy Baja",#REF!="Leve"),CONCATENATE("R3C",#REF!),"")</f>
        <v>#REF!</v>
      </c>
      <c r="P48" s="160" t="e">
        <f>IF(AND(#REF!="Muy Baja",#REF!="Menor"),CONCATENATE("R3C",#REF!),"")</f>
        <v>#REF!</v>
      </c>
      <c r="Q48" s="161" t="e">
        <f>IF(AND(#REF!="Muy Baja",#REF!="Menor"),CONCATENATE("R3C",#REF!),"")</f>
        <v>#REF!</v>
      </c>
      <c r="R48" s="161" t="e">
        <f>IF(AND(#REF!="Muy Baja",#REF!="Menor"),CONCATENATE("R3C",#REF!),"")</f>
        <v>#REF!</v>
      </c>
      <c r="S48" s="161" t="e">
        <f>IF(AND(#REF!="Muy Baja",#REF!="Menor"),CONCATENATE("R3C",#REF!),"")</f>
        <v>#REF!</v>
      </c>
      <c r="T48" s="161" t="e">
        <f>IF(AND(#REF!="Muy Baja",#REF!="Menor"),CONCATENATE("R3C",#REF!),"")</f>
        <v>#REF!</v>
      </c>
      <c r="U48" s="162" t="e">
        <f>IF(AND(#REF!="Muy Baja",#REF!="Menor"),CONCATENATE("R3C",#REF!),"")</f>
        <v>#REF!</v>
      </c>
      <c r="V48" s="154" t="e">
        <f>IF(AND(#REF!="Muy Baja",#REF!="Moderado"),CONCATENATE("R3C",#REF!),"")</f>
        <v>#REF!</v>
      </c>
      <c r="W48" s="155" t="e">
        <f>IF(AND(#REF!="Muy Baja",#REF!="Moderado"),CONCATENATE("R3C",#REF!),"")</f>
        <v>#REF!</v>
      </c>
      <c r="X48" s="155" t="e">
        <f>IF(AND(#REF!="Muy Baja",#REF!="Moderado"),CONCATENATE("R3C",#REF!),"")</f>
        <v>#REF!</v>
      </c>
      <c r="Y48" s="155" t="e">
        <f>IF(AND(#REF!="Muy Baja",#REF!="Moderado"),CONCATENATE("R3C",#REF!),"")</f>
        <v>#REF!</v>
      </c>
      <c r="Z48" s="155" t="e">
        <f>IF(AND(#REF!="Muy Baja",#REF!="Moderado"),CONCATENATE("R3C",#REF!),"")</f>
        <v>#REF!</v>
      </c>
      <c r="AA48" s="156" t="e">
        <f>IF(AND(#REF!="Muy Baja",#REF!="Moderado"),CONCATENATE("R3C",#REF!),"")</f>
        <v>#REF!</v>
      </c>
      <c r="AB48" s="142" t="e">
        <f>IF(AND(#REF!="Muy Baja",#REF!="Mayor"),CONCATENATE("R3C",#REF!),"")</f>
        <v>#REF!</v>
      </c>
      <c r="AC48" s="143" t="e">
        <f>IF(AND(#REF!="Muy Baja",#REF!="Mayor"),CONCATENATE("R3C",#REF!),"")</f>
        <v>#REF!</v>
      </c>
      <c r="AD48" s="143" t="e">
        <f>IF(AND(#REF!="Muy Baja",#REF!="Mayor"),CONCATENATE("R3C",#REF!),"")</f>
        <v>#REF!</v>
      </c>
      <c r="AE48" s="143" t="e">
        <f>IF(AND(#REF!="Muy Baja",#REF!="Mayor"),CONCATENATE("R3C",#REF!),"")</f>
        <v>#REF!</v>
      </c>
      <c r="AF48" s="143" t="e">
        <f>IF(AND(#REF!="Muy Baja",#REF!="Mayor"),CONCATENATE("R3C",#REF!),"")</f>
        <v>#REF!</v>
      </c>
      <c r="AG48" s="144" t="e">
        <f>IF(AND(#REF!="Muy Baja",#REF!="Mayor"),CONCATENATE("R3C",#REF!),"")</f>
        <v>#REF!</v>
      </c>
      <c r="AH48" s="145" t="e">
        <f>IF(AND(#REF!="Muy Baja",#REF!="Catastrófico"),CONCATENATE("R3C",#REF!),"")</f>
        <v>#REF!</v>
      </c>
      <c r="AI48" s="146" t="e">
        <f>IF(AND(#REF!="Muy Baja",#REF!="Catastrófico"),CONCATENATE("R3C",#REF!),"")</f>
        <v>#REF!</v>
      </c>
      <c r="AJ48" s="146" t="e">
        <f>IF(AND(#REF!="Muy Baja",#REF!="Catastrófico"),CONCATENATE("R3C",#REF!),"")</f>
        <v>#REF!</v>
      </c>
      <c r="AK48" s="146" t="e">
        <f>IF(AND(#REF!="Muy Baja",#REF!="Catastrófico"),CONCATENATE("R3C",#REF!),"")</f>
        <v>#REF!</v>
      </c>
      <c r="AL48" s="146" t="e">
        <f>IF(AND(#REF!="Muy Baja",#REF!="Catastrófico"),CONCATENATE("R3C",#REF!),"")</f>
        <v>#REF!</v>
      </c>
      <c r="AM48" s="147" t="e">
        <f>IF(AND(#REF!="Muy Baja",#REF!="Catastrófico"),CONCATENATE("R3C",#REF!),"")</f>
        <v>#REF!</v>
      </c>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row>
    <row r="49" spans="1:61" ht="15" customHeight="1" x14ac:dyDescent="0.25">
      <c r="A49" s="115"/>
      <c r="B49" s="654"/>
      <c r="C49" s="670"/>
      <c r="D49" s="653"/>
      <c r="E49" s="659"/>
      <c r="F49" s="670"/>
      <c r="G49" s="670"/>
      <c r="H49" s="670"/>
      <c r="I49" s="653"/>
      <c r="J49" s="160" t="e">
        <f>IF(AND(#REF!="Muy Baja",#REF!="Leve"),CONCATENATE("R4C",#REF!),"")</f>
        <v>#REF!</v>
      </c>
      <c r="K49" s="161" t="e">
        <f>IF(AND(#REF!="Muy Baja",#REF!="Leve"),CONCATENATE("R4C",#REF!),"")</f>
        <v>#REF!</v>
      </c>
      <c r="L49" s="161" t="e">
        <f>IF(AND(#REF!="Muy Baja",#REF!="Leve"),CONCATENATE("R4C",#REF!),"")</f>
        <v>#REF!</v>
      </c>
      <c r="M49" s="161" t="e">
        <f>IF(AND(#REF!="Muy Baja",#REF!="Leve"),CONCATENATE("R4C",#REF!),"")</f>
        <v>#REF!</v>
      </c>
      <c r="N49" s="161" t="e">
        <f>IF(AND(#REF!="Muy Baja",#REF!="Leve"),CONCATENATE("R4C",#REF!),"")</f>
        <v>#REF!</v>
      </c>
      <c r="O49" s="162" t="e">
        <f>IF(AND(#REF!="Muy Baja",#REF!="Leve"),CONCATENATE("R4C",#REF!),"")</f>
        <v>#REF!</v>
      </c>
      <c r="P49" s="160" t="e">
        <f>IF(AND(#REF!="Muy Baja",#REF!="Menor"),CONCATENATE("R4C",#REF!),"")</f>
        <v>#REF!</v>
      </c>
      <c r="Q49" s="161" t="e">
        <f>IF(AND(#REF!="Muy Baja",#REF!="Menor"),CONCATENATE("R4C",#REF!),"")</f>
        <v>#REF!</v>
      </c>
      <c r="R49" s="161" t="e">
        <f>IF(AND(#REF!="Muy Baja",#REF!="Menor"),CONCATENATE("R4C",#REF!),"")</f>
        <v>#REF!</v>
      </c>
      <c r="S49" s="161" t="e">
        <f>IF(AND(#REF!="Muy Baja",#REF!="Menor"),CONCATENATE("R4C",#REF!),"")</f>
        <v>#REF!</v>
      </c>
      <c r="T49" s="161" t="e">
        <f>IF(AND(#REF!="Muy Baja",#REF!="Menor"),CONCATENATE("R4C",#REF!),"")</f>
        <v>#REF!</v>
      </c>
      <c r="U49" s="162" t="e">
        <f>IF(AND(#REF!="Muy Baja",#REF!="Menor"),CONCATENATE("R4C",#REF!),"")</f>
        <v>#REF!</v>
      </c>
      <c r="V49" s="154" t="e">
        <f>IF(AND(#REF!="Muy Baja",#REF!="Moderado"),CONCATENATE("R4C",#REF!),"")</f>
        <v>#REF!</v>
      </c>
      <c r="W49" s="155" t="e">
        <f>IF(AND(#REF!="Muy Baja",#REF!="Moderado"),CONCATENATE("R4C",#REF!),"")</f>
        <v>#REF!</v>
      </c>
      <c r="X49" s="155" t="e">
        <f>IF(AND(#REF!="Muy Baja",#REF!="Moderado"),CONCATENATE("R4C",#REF!),"")</f>
        <v>#REF!</v>
      </c>
      <c r="Y49" s="155" t="e">
        <f>IF(AND(#REF!="Muy Baja",#REF!="Moderado"),CONCATENATE("R4C",#REF!),"")</f>
        <v>#REF!</v>
      </c>
      <c r="Z49" s="155" t="e">
        <f>IF(AND(#REF!="Muy Baja",#REF!="Moderado"),CONCATENATE("R4C",#REF!),"")</f>
        <v>#REF!</v>
      </c>
      <c r="AA49" s="156" t="e">
        <f>IF(AND(#REF!="Muy Baja",#REF!="Moderado"),CONCATENATE("R4C",#REF!),"")</f>
        <v>#REF!</v>
      </c>
      <c r="AB49" s="142" t="e">
        <f>IF(AND(#REF!="Muy Baja",#REF!="Mayor"),CONCATENATE("R4C",#REF!),"")</f>
        <v>#REF!</v>
      </c>
      <c r="AC49" s="143" t="e">
        <f>IF(AND(#REF!="Muy Baja",#REF!="Mayor"),CONCATENATE("R4C",#REF!),"")</f>
        <v>#REF!</v>
      </c>
      <c r="AD49" s="143" t="e">
        <f>IF(AND(#REF!="Muy Baja",#REF!="Mayor"),CONCATENATE("R4C",#REF!),"")</f>
        <v>#REF!</v>
      </c>
      <c r="AE49" s="143" t="e">
        <f>IF(AND(#REF!="Muy Baja",#REF!="Mayor"),CONCATENATE("R4C",#REF!),"")</f>
        <v>#REF!</v>
      </c>
      <c r="AF49" s="143" t="e">
        <f>IF(AND(#REF!="Muy Baja",#REF!="Mayor"),CONCATENATE("R4C",#REF!),"")</f>
        <v>#REF!</v>
      </c>
      <c r="AG49" s="144" t="e">
        <f>IF(AND(#REF!="Muy Baja",#REF!="Mayor"),CONCATENATE("R4C",#REF!),"")</f>
        <v>#REF!</v>
      </c>
      <c r="AH49" s="145" t="e">
        <f>IF(AND(#REF!="Muy Baja",#REF!="Catastrófico"),CONCATENATE("R4C",#REF!),"")</f>
        <v>#REF!</v>
      </c>
      <c r="AI49" s="146" t="e">
        <f>IF(AND(#REF!="Muy Baja",#REF!="Catastrófico"),CONCATENATE("R4C",#REF!),"")</f>
        <v>#REF!</v>
      </c>
      <c r="AJ49" s="146" t="e">
        <f>IF(AND(#REF!="Muy Baja",#REF!="Catastrófico"),CONCATENATE("R4C",#REF!),"")</f>
        <v>#REF!</v>
      </c>
      <c r="AK49" s="146" t="e">
        <f>IF(AND(#REF!="Muy Baja",#REF!="Catastrófico"),CONCATENATE("R4C",#REF!),"")</f>
        <v>#REF!</v>
      </c>
      <c r="AL49" s="146" t="e">
        <f>IF(AND(#REF!="Muy Baja",#REF!="Catastrófico"),CONCATENATE("R4C",#REF!),"")</f>
        <v>#REF!</v>
      </c>
      <c r="AM49" s="147" t="e">
        <f>IF(AND(#REF!="Muy Baja",#REF!="Catastrófico"),CONCATENATE("R4C",#REF!),"")</f>
        <v>#REF!</v>
      </c>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row>
    <row r="50" spans="1:61" ht="15" customHeight="1" x14ac:dyDescent="0.25">
      <c r="A50" s="115"/>
      <c r="B50" s="654"/>
      <c r="C50" s="670"/>
      <c r="D50" s="653"/>
      <c r="E50" s="659"/>
      <c r="F50" s="670"/>
      <c r="G50" s="670"/>
      <c r="H50" s="670"/>
      <c r="I50" s="653"/>
      <c r="J50" s="160" t="e">
        <f>IF(AND(#REF!="Muy Baja",#REF!="Leve"),CONCATENATE("R5C",#REF!),"")</f>
        <v>#REF!</v>
      </c>
      <c r="K50" s="161" t="e">
        <f>IF(AND(#REF!="Muy Baja",#REF!="Leve"),CONCATENATE("R5C",#REF!),"")</f>
        <v>#REF!</v>
      </c>
      <c r="L50" s="161" t="e">
        <f>IF(AND(#REF!="Muy Baja",#REF!="Leve"),CONCATENATE("R5C",#REF!),"")</f>
        <v>#REF!</v>
      </c>
      <c r="M50" s="161" t="e">
        <f>IF(AND(#REF!="Muy Baja",#REF!="Leve"),CONCATENATE("R5C",#REF!),"")</f>
        <v>#REF!</v>
      </c>
      <c r="N50" s="161" t="e">
        <f>IF(AND(#REF!="Muy Baja",#REF!="Leve"),CONCATENATE("R5C",#REF!),"")</f>
        <v>#REF!</v>
      </c>
      <c r="O50" s="162" t="e">
        <f>IF(AND(#REF!="Muy Baja",#REF!="Leve"),CONCATENATE("R5C",#REF!),"")</f>
        <v>#REF!</v>
      </c>
      <c r="P50" s="160" t="e">
        <f>IF(AND(#REF!="Muy Baja",#REF!="Menor"),CONCATENATE("R5C",#REF!),"")</f>
        <v>#REF!</v>
      </c>
      <c r="Q50" s="161" t="e">
        <f>IF(AND(#REF!="Muy Baja",#REF!="Menor"),CONCATENATE("R5C",#REF!),"")</f>
        <v>#REF!</v>
      </c>
      <c r="R50" s="161" t="e">
        <f>IF(AND(#REF!="Muy Baja",#REF!="Menor"),CONCATENATE("R5C",#REF!),"")</f>
        <v>#REF!</v>
      </c>
      <c r="S50" s="161" t="e">
        <f>IF(AND(#REF!="Muy Baja",#REF!="Menor"),CONCATENATE("R5C",#REF!),"")</f>
        <v>#REF!</v>
      </c>
      <c r="T50" s="161" t="e">
        <f>IF(AND(#REF!="Muy Baja",#REF!="Menor"),CONCATENATE("R5C",#REF!),"")</f>
        <v>#REF!</v>
      </c>
      <c r="U50" s="162" t="e">
        <f>IF(AND(#REF!="Muy Baja",#REF!="Menor"),CONCATENATE("R5C",#REF!),"")</f>
        <v>#REF!</v>
      </c>
      <c r="V50" s="154" t="e">
        <f>IF(AND(#REF!="Muy Baja",#REF!="Moderado"),CONCATENATE("R5C",#REF!),"")</f>
        <v>#REF!</v>
      </c>
      <c r="W50" s="155" t="e">
        <f>IF(AND(#REF!="Muy Baja",#REF!="Moderado"),CONCATENATE("R5C",#REF!),"")</f>
        <v>#REF!</v>
      </c>
      <c r="X50" s="155" t="e">
        <f>IF(AND(#REF!="Muy Baja",#REF!="Moderado"),CONCATENATE("R5C",#REF!),"")</f>
        <v>#REF!</v>
      </c>
      <c r="Y50" s="155" t="e">
        <f>IF(AND(#REF!="Muy Baja",#REF!="Moderado"),CONCATENATE("R5C",#REF!),"")</f>
        <v>#REF!</v>
      </c>
      <c r="Z50" s="155" t="e">
        <f>IF(AND(#REF!="Muy Baja",#REF!="Moderado"),CONCATENATE("R5C",#REF!),"")</f>
        <v>#REF!</v>
      </c>
      <c r="AA50" s="156" t="e">
        <f>IF(AND(#REF!="Muy Baja",#REF!="Moderado"),CONCATENATE("R5C",#REF!),"")</f>
        <v>#REF!</v>
      </c>
      <c r="AB50" s="142" t="e">
        <f>IF(AND(#REF!="Muy Baja",#REF!="Mayor"),CONCATENATE("R5C",#REF!),"")</f>
        <v>#REF!</v>
      </c>
      <c r="AC50" s="143" t="e">
        <f>IF(AND(#REF!="Muy Baja",#REF!="Mayor"),CONCATENATE("R5C",#REF!),"")</f>
        <v>#REF!</v>
      </c>
      <c r="AD50" s="143" t="e">
        <f>IF(AND(#REF!="Muy Baja",#REF!="Mayor"),CONCATENATE("R5C",#REF!),"")</f>
        <v>#REF!</v>
      </c>
      <c r="AE50" s="143" t="e">
        <f>IF(AND(#REF!="Muy Baja",#REF!="Mayor"),CONCATENATE("R5C",#REF!),"")</f>
        <v>#REF!</v>
      </c>
      <c r="AF50" s="143" t="e">
        <f>IF(AND(#REF!="Muy Baja",#REF!="Mayor"),CONCATENATE("R5C",#REF!),"")</f>
        <v>#REF!</v>
      </c>
      <c r="AG50" s="144" t="e">
        <f>IF(AND(#REF!="Muy Baja",#REF!="Mayor"),CONCATENATE("R5C",#REF!),"")</f>
        <v>#REF!</v>
      </c>
      <c r="AH50" s="145" t="e">
        <f>IF(AND(#REF!="Muy Baja",#REF!="Catastrófico"),CONCATENATE("R5C",#REF!),"")</f>
        <v>#REF!</v>
      </c>
      <c r="AI50" s="146" t="e">
        <f>IF(AND(#REF!="Muy Baja",#REF!="Catastrófico"),CONCATENATE("R5C",#REF!),"")</f>
        <v>#REF!</v>
      </c>
      <c r="AJ50" s="146" t="e">
        <f>IF(AND(#REF!="Muy Baja",#REF!="Catastrófico"),CONCATENATE("R5C",#REF!),"")</f>
        <v>#REF!</v>
      </c>
      <c r="AK50" s="146" t="e">
        <f>IF(AND(#REF!="Muy Baja",#REF!="Catastrófico"),CONCATENATE("R5C",#REF!),"")</f>
        <v>#REF!</v>
      </c>
      <c r="AL50" s="146" t="e">
        <f>IF(AND(#REF!="Muy Baja",#REF!="Catastrófico"),CONCATENATE("R5C",#REF!),"")</f>
        <v>#REF!</v>
      </c>
      <c r="AM50" s="147" t="e">
        <f>IF(AND(#REF!="Muy Baja",#REF!="Catastrófico"),CONCATENATE("R5C",#REF!),"")</f>
        <v>#REF!</v>
      </c>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row>
    <row r="51" spans="1:61" ht="15" customHeight="1" x14ac:dyDescent="0.25">
      <c r="A51" s="115"/>
      <c r="B51" s="654"/>
      <c r="C51" s="670"/>
      <c r="D51" s="653"/>
      <c r="E51" s="659"/>
      <c r="F51" s="670"/>
      <c r="G51" s="670"/>
      <c r="H51" s="670"/>
      <c r="I51" s="653"/>
      <c r="J51" s="160" t="e">
        <f>IF(AND(#REF!="Muy Baja",#REF!="Leve"),CONCATENATE("R6C",#REF!),"")</f>
        <v>#REF!</v>
      </c>
      <c r="K51" s="161" t="e">
        <f>IF(AND(#REF!="Muy Baja",#REF!="Leve"),CONCATENATE("R6C",#REF!),"")</f>
        <v>#REF!</v>
      </c>
      <c r="L51" s="161" t="e">
        <f>IF(AND(#REF!="Muy Baja",#REF!="Leve"),CONCATENATE("R6C",#REF!),"")</f>
        <v>#REF!</v>
      </c>
      <c r="M51" s="161" t="e">
        <f>IF(AND(#REF!="Muy Baja",#REF!="Leve"),CONCATENATE("R6C",#REF!),"")</f>
        <v>#REF!</v>
      </c>
      <c r="N51" s="161" t="e">
        <f>IF(AND(#REF!="Muy Baja",#REF!="Leve"),CONCATENATE("R6C",#REF!),"")</f>
        <v>#REF!</v>
      </c>
      <c r="O51" s="162" t="e">
        <f>IF(AND(#REF!="Muy Baja",#REF!="Leve"),CONCATENATE("R6C",#REF!),"")</f>
        <v>#REF!</v>
      </c>
      <c r="P51" s="160" t="e">
        <f>IF(AND(#REF!="Muy Baja",#REF!="Menor"),CONCATENATE("R6C",#REF!),"")</f>
        <v>#REF!</v>
      </c>
      <c r="Q51" s="161" t="e">
        <f>IF(AND(#REF!="Muy Baja",#REF!="Menor"),CONCATENATE("R6C",#REF!),"")</f>
        <v>#REF!</v>
      </c>
      <c r="R51" s="161" t="e">
        <f>IF(AND(#REF!="Muy Baja",#REF!="Menor"),CONCATENATE("R6C",#REF!),"")</f>
        <v>#REF!</v>
      </c>
      <c r="S51" s="161" t="e">
        <f>IF(AND(#REF!="Muy Baja",#REF!="Menor"),CONCATENATE("R6C",#REF!),"")</f>
        <v>#REF!</v>
      </c>
      <c r="T51" s="161" t="e">
        <f>IF(AND(#REF!="Muy Baja",#REF!="Menor"),CONCATENATE("R6C",#REF!),"")</f>
        <v>#REF!</v>
      </c>
      <c r="U51" s="162" t="e">
        <f>IF(AND(#REF!="Muy Baja",#REF!="Menor"),CONCATENATE("R6C",#REF!),"")</f>
        <v>#REF!</v>
      </c>
      <c r="V51" s="154" t="e">
        <f>IF(AND(#REF!="Muy Baja",#REF!="Moderado"),CONCATENATE("R6C",#REF!),"")</f>
        <v>#REF!</v>
      </c>
      <c r="W51" s="155" t="e">
        <f>IF(AND(#REF!="Muy Baja",#REF!="Moderado"),CONCATENATE("R6C",#REF!),"")</f>
        <v>#REF!</v>
      </c>
      <c r="X51" s="155" t="e">
        <f>IF(AND(#REF!="Muy Baja",#REF!="Moderado"),CONCATENATE("R6C",#REF!),"")</f>
        <v>#REF!</v>
      </c>
      <c r="Y51" s="155" t="e">
        <f>IF(AND(#REF!="Muy Baja",#REF!="Moderado"),CONCATENATE("R6C",#REF!),"")</f>
        <v>#REF!</v>
      </c>
      <c r="Z51" s="155" t="e">
        <f>IF(AND(#REF!="Muy Baja",#REF!="Moderado"),CONCATENATE("R6C",#REF!),"")</f>
        <v>#REF!</v>
      </c>
      <c r="AA51" s="156" t="e">
        <f>IF(AND(#REF!="Muy Baja",#REF!="Moderado"),CONCATENATE("R6C",#REF!),"")</f>
        <v>#REF!</v>
      </c>
      <c r="AB51" s="142" t="e">
        <f>IF(AND(#REF!="Muy Baja",#REF!="Mayor"),CONCATENATE("R6C",#REF!),"")</f>
        <v>#REF!</v>
      </c>
      <c r="AC51" s="143" t="e">
        <f>IF(AND(#REF!="Muy Baja",#REF!="Mayor"),CONCATENATE("R6C",#REF!),"")</f>
        <v>#REF!</v>
      </c>
      <c r="AD51" s="143" t="e">
        <f>IF(AND(#REF!="Muy Baja",#REF!="Mayor"),CONCATENATE("R6C",#REF!),"")</f>
        <v>#REF!</v>
      </c>
      <c r="AE51" s="143" t="e">
        <f>IF(AND(#REF!="Muy Baja",#REF!="Mayor"),CONCATENATE("R6C",#REF!),"")</f>
        <v>#REF!</v>
      </c>
      <c r="AF51" s="143" t="e">
        <f>IF(AND(#REF!="Muy Baja",#REF!="Mayor"),CONCATENATE("R6C",#REF!),"")</f>
        <v>#REF!</v>
      </c>
      <c r="AG51" s="144" t="e">
        <f>IF(AND(#REF!="Muy Baja",#REF!="Mayor"),CONCATENATE("R6C",#REF!),"")</f>
        <v>#REF!</v>
      </c>
      <c r="AH51" s="145" t="e">
        <f>IF(AND(#REF!="Muy Baja",#REF!="Catastrófico"),CONCATENATE("R6C",#REF!),"")</f>
        <v>#REF!</v>
      </c>
      <c r="AI51" s="146" t="e">
        <f>IF(AND(#REF!="Muy Baja",#REF!="Catastrófico"),CONCATENATE("R6C",#REF!),"")</f>
        <v>#REF!</v>
      </c>
      <c r="AJ51" s="146" t="e">
        <f>IF(AND(#REF!="Muy Baja",#REF!="Catastrófico"),CONCATENATE("R6C",#REF!),"")</f>
        <v>#REF!</v>
      </c>
      <c r="AK51" s="146" t="e">
        <f>IF(AND(#REF!="Muy Baja",#REF!="Catastrófico"),CONCATENATE("R6C",#REF!),"")</f>
        <v>#REF!</v>
      </c>
      <c r="AL51" s="146" t="e">
        <f>IF(AND(#REF!="Muy Baja",#REF!="Catastrófico"),CONCATENATE("R6C",#REF!),"")</f>
        <v>#REF!</v>
      </c>
      <c r="AM51" s="147" t="e">
        <f>IF(AND(#REF!="Muy Baja",#REF!="Catastrófico"),CONCATENATE("R6C",#REF!),"")</f>
        <v>#REF!</v>
      </c>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row>
    <row r="52" spans="1:61" ht="15" customHeight="1" x14ac:dyDescent="0.25">
      <c r="A52" s="115"/>
      <c r="B52" s="654"/>
      <c r="C52" s="670"/>
      <c r="D52" s="653"/>
      <c r="E52" s="659"/>
      <c r="F52" s="670"/>
      <c r="G52" s="670"/>
      <c r="H52" s="670"/>
      <c r="I52" s="653"/>
      <c r="J52" s="160" t="e">
        <f>IF(AND(#REF!="Muy Baja",#REF!="Leve"),CONCATENATE("R7C",#REF!),"")</f>
        <v>#REF!</v>
      </c>
      <c r="K52" s="161" t="e">
        <f>IF(AND(#REF!="Muy Baja",#REF!="Leve"),CONCATENATE("R7C",#REF!),"")</f>
        <v>#REF!</v>
      </c>
      <c r="L52" s="161" t="e">
        <f>IF(AND(#REF!="Muy Baja",#REF!="Leve"),CONCATENATE("R7C",#REF!),"")</f>
        <v>#REF!</v>
      </c>
      <c r="M52" s="161" t="e">
        <f>IF(AND(#REF!="Muy Baja",#REF!="Leve"),CONCATENATE("R7C",#REF!),"")</f>
        <v>#REF!</v>
      </c>
      <c r="N52" s="161" t="e">
        <f>IF(AND(#REF!="Muy Baja",#REF!="Leve"),CONCATENATE("R7C",#REF!),"")</f>
        <v>#REF!</v>
      </c>
      <c r="O52" s="162" t="e">
        <f>IF(AND(#REF!="Muy Baja",#REF!="Leve"),CONCATENATE("R7C",#REF!),"")</f>
        <v>#REF!</v>
      </c>
      <c r="P52" s="160" t="e">
        <f>IF(AND(#REF!="Muy Baja",#REF!="Menor"),CONCATENATE("R7C",#REF!),"")</f>
        <v>#REF!</v>
      </c>
      <c r="Q52" s="161" t="e">
        <f>IF(AND(#REF!="Muy Baja",#REF!="Menor"),CONCATENATE("R7C",#REF!),"")</f>
        <v>#REF!</v>
      </c>
      <c r="R52" s="161" t="e">
        <f>IF(AND(#REF!="Muy Baja",#REF!="Menor"),CONCATENATE("R7C",#REF!),"")</f>
        <v>#REF!</v>
      </c>
      <c r="S52" s="161" t="e">
        <f>IF(AND(#REF!="Muy Baja",#REF!="Menor"),CONCATENATE("R7C",#REF!),"")</f>
        <v>#REF!</v>
      </c>
      <c r="T52" s="161" t="e">
        <f>IF(AND(#REF!="Muy Baja",#REF!="Menor"),CONCATENATE("R7C",#REF!),"")</f>
        <v>#REF!</v>
      </c>
      <c r="U52" s="162" t="e">
        <f>IF(AND(#REF!="Muy Baja",#REF!="Menor"),CONCATENATE("R7C",#REF!),"")</f>
        <v>#REF!</v>
      </c>
      <c r="V52" s="154" t="e">
        <f>IF(AND(#REF!="Muy Baja",#REF!="Moderado"),CONCATENATE("R7C",#REF!),"")</f>
        <v>#REF!</v>
      </c>
      <c r="W52" s="155" t="e">
        <f>IF(AND(#REF!="Muy Baja",#REF!="Moderado"),CONCATENATE("R7C",#REF!),"")</f>
        <v>#REF!</v>
      </c>
      <c r="X52" s="155" t="e">
        <f>IF(AND(#REF!="Muy Baja",#REF!="Moderado"),CONCATENATE("R7C",#REF!),"")</f>
        <v>#REF!</v>
      </c>
      <c r="Y52" s="155" t="e">
        <f>IF(AND(#REF!="Muy Baja",#REF!="Moderado"),CONCATENATE("R7C",#REF!),"")</f>
        <v>#REF!</v>
      </c>
      <c r="Z52" s="155" t="e">
        <f>IF(AND(#REF!="Muy Baja",#REF!="Moderado"),CONCATENATE("R7C",#REF!),"")</f>
        <v>#REF!</v>
      </c>
      <c r="AA52" s="156" t="e">
        <f>IF(AND(#REF!="Muy Baja",#REF!="Moderado"),CONCATENATE("R7C",#REF!),"")</f>
        <v>#REF!</v>
      </c>
      <c r="AB52" s="142" t="e">
        <f>IF(AND(#REF!="Muy Baja",#REF!="Mayor"),CONCATENATE("R7C",#REF!),"")</f>
        <v>#REF!</v>
      </c>
      <c r="AC52" s="143" t="e">
        <f>IF(AND(#REF!="Muy Baja",#REF!="Mayor"),CONCATENATE("R7C",#REF!),"")</f>
        <v>#REF!</v>
      </c>
      <c r="AD52" s="143" t="e">
        <f>IF(AND(#REF!="Muy Baja",#REF!="Mayor"),CONCATENATE("R7C",#REF!),"")</f>
        <v>#REF!</v>
      </c>
      <c r="AE52" s="143" t="e">
        <f>IF(AND(#REF!="Muy Baja",#REF!="Mayor"),CONCATENATE("R7C",#REF!),"")</f>
        <v>#REF!</v>
      </c>
      <c r="AF52" s="143" t="e">
        <f>IF(AND(#REF!="Muy Baja",#REF!="Mayor"),CONCATENATE("R7C",#REF!),"")</f>
        <v>#REF!</v>
      </c>
      <c r="AG52" s="144" t="e">
        <f>IF(AND(#REF!="Muy Baja",#REF!="Mayor"),CONCATENATE("R7C",#REF!),"")</f>
        <v>#REF!</v>
      </c>
      <c r="AH52" s="145" t="e">
        <f>IF(AND(#REF!="Muy Baja",#REF!="Catastrófico"),CONCATENATE("R7C",#REF!),"")</f>
        <v>#REF!</v>
      </c>
      <c r="AI52" s="146" t="e">
        <f>IF(AND(#REF!="Muy Baja",#REF!="Catastrófico"),CONCATENATE("R7C",#REF!),"")</f>
        <v>#REF!</v>
      </c>
      <c r="AJ52" s="146" t="e">
        <f>IF(AND(#REF!="Muy Baja",#REF!="Catastrófico"),CONCATENATE("R7C",#REF!),"")</f>
        <v>#REF!</v>
      </c>
      <c r="AK52" s="146" t="e">
        <f>IF(AND(#REF!="Muy Baja",#REF!="Catastrófico"),CONCATENATE("R7C",#REF!),"")</f>
        <v>#REF!</v>
      </c>
      <c r="AL52" s="146" t="e">
        <f>IF(AND(#REF!="Muy Baja",#REF!="Catastrófico"),CONCATENATE("R7C",#REF!),"")</f>
        <v>#REF!</v>
      </c>
      <c r="AM52" s="147" t="e">
        <f>IF(AND(#REF!="Muy Baja",#REF!="Catastrófico"),CONCATENATE("R7C",#REF!),"")</f>
        <v>#REF!</v>
      </c>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row>
    <row r="53" spans="1:61" ht="15" customHeight="1" x14ac:dyDescent="0.25">
      <c r="A53" s="115"/>
      <c r="B53" s="654"/>
      <c r="C53" s="670"/>
      <c r="D53" s="653"/>
      <c r="E53" s="659"/>
      <c r="F53" s="670"/>
      <c r="G53" s="670"/>
      <c r="H53" s="670"/>
      <c r="I53" s="653"/>
      <c r="J53" s="160" t="e">
        <f>IF(AND(#REF!="Muy Baja",#REF!="Leve"),CONCATENATE("R8C",#REF!),"")</f>
        <v>#REF!</v>
      </c>
      <c r="K53" s="161" t="e">
        <f>IF(AND(#REF!="Muy Baja",#REF!="Leve"),CONCATENATE("R8C",#REF!),"")</f>
        <v>#REF!</v>
      </c>
      <c r="L53" s="161" t="e">
        <f>IF(AND(#REF!="Muy Baja",#REF!="Leve"),CONCATENATE("R8C",#REF!),"")</f>
        <v>#REF!</v>
      </c>
      <c r="M53" s="161" t="e">
        <f>IF(AND(#REF!="Muy Baja",#REF!="Leve"),CONCATENATE("R8C",#REF!),"")</f>
        <v>#REF!</v>
      </c>
      <c r="N53" s="161" t="e">
        <f>IF(AND(#REF!="Muy Baja",#REF!="Leve"),CONCATENATE("R8C",#REF!),"")</f>
        <v>#REF!</v>
      </c>
      <c r="O53" s="162" t="e">
        <f>IF(AND(#REF!="Muy Baja",#REF!="Leve"),CONCATENATE("R8C",#REF!),"")</f>
        <v>#REF!</v>
      </c>
      <c r="P53" s="160" t="e">
        <f>IF(AND(#REF!="Muy Baja",#REF!="Menor"),CONCATENATE("R8C",#REF!),"")</f>
        <v>#REF!</v>
      </c>
      <c r="Q53" s="161" t="e">
        <f>IF(AND(#REF!="Muy Baja",#REF!="Menor"),CONCATENATE("R8C",#REF!),"")</f>
        <v>#REF!</v>
      </c>
      <c r="R53" s="161" t="e">
        <f>IF(AND(#REF!="Muy Baja",#REF!="Menor"),CONCATENATE("R8C",#REF!),"")</f>
        <v>#REF!</v>
      </c>
      <c r="S53" s="161" t="e">
        <f>IF(AND(#REF!="Muy Baja",#REF!="Menor"),CONCATENATE("R8C",#REF!),"")</f>
        <v>#REF!</v>
      </c>
      <c r="T53" s="161" t="e">
        <f>IF(AND(#REF!="Muy Baja",#REF!="Menor"),CONCATENATE("R8C",#REF!),"")</f>
        <v>#REF!</v>
      </c>
      <c r="U53" s="162" t="e">
        <f>IF(AND(#REF!="Muy Baja",#REF!="Menor"),CONCATENATE("R8C",#REF!),"")</f>
        <v>#REF!</v>
      </c>
      <c r="V53" s="154" t="e">
        <f>IF(AND(#REF!="Muy Baja",#REF!="Moderado"),CONCATENATE("R8C",#REF!),"")</f>
        <v>#REF!</v>
      </c>
      <c r="W53" s="155" t="e">
        <f>IF(AND(#REF!="Muy Baja",#REF!="Moderado"),CONCATENATE("R8C",#REF!),"")</f>
        <v>#REF!</v>
      </c>
      <c r="X53" s="155" t="e">
        <f>IF(AND(#REF!="Muy Baja",#REF!="Moderado"),CONCATENATE("R8C",#REF!),"")</f>
        <v>#REF!</v>
      </c>
      <c r="Y53" s="155" t="e">
        <f>IF(AND(#REF!="Muy Baja",#REF!="Moderado"),CONCATENATE("R8C",#REF!),"")</f>
        <v>#REF!</v>
      </c>
      <c r="Z53" s="155" t="e">
        <f>IF(AND(#REF!="Muy Baja",#REF!="Moderado"),CONCATENATE("R8C",#REF!),"")</f>
        <v>#REF!</v>
      </c>
      <c r="AA53" s="156" t="e">
        <f>IF(AND(#REF!="Muy Baja",#REF!="Moderado"),CONCATENATE("R8C",#REF!),"")</f>
        <v>#REF!</v>
      </c>
      <c r="AB53" s="142" t="e">
        <f>IF(AND(#REF!="Muy Baja",#REF!="Mayor"),CONCATENATE("R8C",#REF!),"")</f>
        <v>#REF!</v>
      </c>
      <c r="AC53" s="143" t="e">
        <f>IF(AND(#REF!="Muy Baja",#REF!="Mayor"),CONCATENATE("R8C",#REF!),"")</f>
        <v>#REF!</v>
      </c>
      <c r="AD53" s="143" t="e">
        <f>IF(AND(#REF!="Muy Baja",#REF!="Mayor"),CONCATENATE("R8C",#REF!),"")</f>
        <v>#REF!</v>
      </c>
      <c r="AE53" s="143" t="e">
        <f>IF(AND(#REF!="Muy Baja",#REF!="Mayor"),CONCATENATE("R8C",#REF!),"")</f>
        <v>#REF!</v>
      </c>
      <c r="AF53" s="143" t="e">
        <f>IF(AND(#REF!="Muy Baja",#REF!="Mayor"),CONCATENATE("R8C",#REF!),"")</f>
        <v>#REF!</v>
      </c>
      <c r="AG53" s="144" t="e">
        <f>IF(AND(#REF!="Muy Baja",#REF!="Mayor"),CONCATENATE("R8C",#REF!),"")</f>
        <v>#REF!</v>
      </c>
      <c r="AH53" s="145" t="e">
        <f>IF(AND(#REF!="Muy Baja",#REF!="Catastrófico"),CONCATENATE("R8C",#REF!),"")</f>
        <v>#REF!</v>
      </c>
      <c r="AI53" s="146" t="e">
        <f>IF(AND(#REF!="Muy Baja",#REF!="Catastrófico"),CONCATENATE("R8C",#REF!),"")</f>
        <v>#REF!</v>
      </c>
      <c r="AJ53" s="146" t="e">
        <f>IF(AND(#REF!="Muy Baja",#REF!="Catastrófico"),CONCATENATE("R8C",#REF!),"")</f>
        <v>#REF!</v>
      </c>
      <c r="AK53" s="146" t="e">
        <f>IF(AND(#REF!="Muy Baja",#REF!="Catastrófico"),CONCATENATE("R8C",#REF!),"")</f>
        <v>#REF!</v>
      </c>
      <c r="AL53" s="146" t="e">
        <f>IF(AND(#REF!="Muy Baja",#REF!="Catastrófico"),CONCATENATE("R8C",#REF!),"")</f>
        <v>#REF!</v>
      </c>
      <c r="AM53" s="147" t="e">
        <f>IF(AND(#REF!="Muy Baja",#REF!="Catastrófico"),CONCATENATE("R8C",#REF!),"")</f>
        <v>#REF!</v>
      </c>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row>
    <row r="54" spans="1:61" ht="15" customHeight="1" x14ac:dyDescent="0.25">
      <c r="A54" s="115"/>
      <c r="B54" s="654"/>
      <c r="C54" s="670"/>
      <c r="D54" s="653"/>
      <c r="E54" s="659"/>
      <c r="F54" s="670"/>
      <c r="G54" s="670"/>
      <c r="H54" s="670"/>
      <c r="I54" s="653"/>
      <c r="J54" s="160" t="e">
        <f>IF(AND(#REF!="Muy Baja",#REF!="Leve"),CONCATENATE("R9C",#REF!),"")</f>
        <v>#REF!</v>
      </c>
      <c r="K54" s="161" t="e">
        <f>IF(AND(#REF!="Muy Baja",#REF!="Leve"),CONCATENATE("R9C",#REF!),"")</f>
        <v>#REF!</v>
      </c>
      <c r="L54" s="161" t="e">
        <f>IF(AND(#REF!="Muy Baja",#REF!="Leve"),CONCATENATE("R9C",#REF!),"")</f>
        <v>#REF!</v>
      </c>
      <c r="M54" s="161" t="e">
        <f>IF(AND(#REF!="Muy Baja",#REF!="Leve"),CONCATENATE("R9C",#REF!),"")</f>
        <v>#REF!</v>
      </c>
      <c r="N54" s="161" t="e">
        <f>IF(AND(#REF!="Muy Baja",#REF!="Leve"),CONCATENATE("R9C",#REF!),"")</f>
        <v>#REF!</v>
      </c>
      <c r="O54" s="162" t="e">
        <f>IF(AND(#REF!="Muy Baja",#REF!="Leve"),CONCATENATE("R9C",#REF!),"")</f>
        <v>#REF!</v>
      </c>
      <c r="P54" s="160" t="e">
        <f>IF(AND(#REF!="Muy Baja",#REF!="Menor"),CONCATENATE("R9C",#REF!),"")</f>
        <v>#REF!</v>
      </c>
      <c r="Q54" s="161" t="e">
        <f>IF(AND(#REF!="Muy Baja",#REF!="Menor"),CONCATENATE("R9C",#REF!),"")</f>
        <v>#REF!</v>
      </c>
      <c r="R54" s="161" t="e">
        <f>IF(AND(#REF!="Muy Baja",#REF!="Menor"),CONCATENATE("R9C",#REF!),"")</f>
        <v>#REF!</v>
      </c>
      <c r="S54" s="161" t="e">
        <f>IF(AND(#REF!="Muy Baja",#REF!="Menor"),CONCATENATE("R9C",#REF!),"")</f>
        <v>#REF!</v>
      </c>
      <c r="T54" s="161" t="e">
        <f>IF(AND(#REF!="Muy Baja",#REF!="Menor"),CONCATENATE("R9C",#REF!),"")</f>
        <v>#REF!</v>
      </c>
      <c r="U54" s="162" t="e">
        <f>IF(AND(#REF!="Muy Baja",#REF!="Menor"),CONCATENATE("R9C",#REF!),"")</f>
        <v>#REF!</v>
      </c>
      <c r="V54" s="154" t="e">
        <f>IF(AND(#REF!="Muy Baja",#REF!="Moderado"),CONCATENATE("R9C",#REF!),"")</f>
        <v>#REF!</v>
      </c>
      <c r="W54" s="155" t="e">
        <f>IF(AND(#REF!="Muy Baja",#REF!="Moderado"),CONCATENATE("R9C",#REF!),"")</f>
        <v>#REF!</v>
      </c>
      <c r="X54" s="155" t="e">
        <f>IF(AND(#REF!="Muy Baja",#REF!="Moderado"),CONCATENATE("R9C",#REF!),"")</f>
        <v>#REF!</v>
      </c>
      <c r="Y54" s="155" t="e">
        <f>IF(AND(#REF!="Muy Baja",#REF!="Moderado"),CONCATENATE("R9C",#REF!),"")</f>
        <v>#REF!</v>
      </c>
      <c r="Z54" s="155" t="e">
        <f>IF(AND(#REF!="Muy Baja",#REF!="Moderado"),CONCATENATE("R9C",#REF!),"")</f>
        <v>#REF!</v>
      </c>
      <c r="AA54" s="156" t="e">
        <f>IF(AND(#REF!="Muy Baja",#REF!="Moderado"),CONCATENATE("R9C",#REF!),"")</f>
        <v>#REF!</v>
      </c>
      <c r="AB54" s="142" t="e">
        <f>IF(AND(#REF!="Muy Baja",#REF!="Mayor"),CONCATENATE("R9C",#REF!),"")</f>
        <v>#REF!</v>
      </c>
      <c r="AC54" s="143" t="e">
        <f>IF(AND(#REF!="Muy Baja",#REF!="Mayor"),CONCATENATE("R9C",#REF!),"")</f>
        <v>#REF!</v>
      </c>
      <c r="AD54" s="143" t="e">
        <f>IF(AND(#REF!="Muy Baja",#REF!="Mayor"),CONCATENATE("R9C",#REF!),"")</f>
        <v>#REF!</v>
      </c>
      <c r="AE54" s="143" t="e">
        <f>IF(AND(#REF!="Muy Baja",#REF!="Mayor"),CONCATENATE("R9C",#REF!),"")</f>
        <v>#REF!</v>
      </c>
      <c r="AF54" s="143" t="e">
        <f>IF(AND(#REF!="Muy Baja",#REF!="Mayor"),CONCATENATE("R9C",#REF!),"")</f>
        <v>#REF!</v>
      </c>
      <c r="AG54" s="144" t="e">
        <f>IF(AND(#REF!="Muy Baja",#REF!="Mayor"),CONCATENATE("R9C",#REF!),"")</f>
        <v>#REF!</v>
      </c>
      <c r="AH54" s="145" t="e">
        <f>IF(AND(#REF!="Muy Baja",#REF!="Catastrófico"),CONCATENATE("R9C",#REF!),"")</f>
        <v>#REF!</v>
      </c>
      <c r="AI54" s="146" t="e">
        <f>IF(AND(#REF!="Muy Baja",#REF!="Catastrófico"),CONCATENATE("R9C",#REF!),"")</f>
        <v>#REF!</v>
      </c>
      <c r="AJ54" s="146" t="e">
        <f>IF(AND(#REF!="Muy Baja",#REF!="Catastrófico"),CONCATENATE("R9C",#REF!),"")</f>
        <v>#REF!</v>
      </c>
      <c r="AK54" s="146" t="e">
        <f>IF(AND(#REF!="Muy Baja",#REF!="Catastrófico"),CONCATENATE("R9C",#REF!),"")</f>
        <v>#REF!</v>
      </c>
      <c r="AL54" s="146" t="e">
        <f>IF(AND(#REF!="Muy Baja",#REF!="Catastrófico"),CONCATENATE("R9C",#REF!),"")</f>
        <v>#REF!</v>
      </c>
      <c r="AM54" s="147" t="e">
        <f>IF(AND(#REF!="Muy Baja",#REF!="Catastrófico"),CONCATENATE("R9C",#REF!),"")</f>
        <v>#REF!</v>
      </c>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row>
    <row r="55" spans="1:61" ht="15.75" customHeight="1" thickBot="1" x14ac:dyDescent="0.3">
      <c r="A55" s="115"/>
      <c r="B55" s="654"/>
      <c r="C55" s="654"/>
      <c r="D55" s="653"/>
      <c r="E55" s="671"/>
      <c r="F55" s="672"/>
      <c r="G55" s="672"/>
      <c r="H55" s="672"/>
      <c r="I55" s="673"/>
      <c r="J55" s="163" t="e">
        <f>IF(AND(#REF!="Muy Baja",#REF!="Leve"),CONCATENATE("R10C",#REF!),"")</f>
        <v>#REF!</v>
      </c>
      <c r="K55" s="164" t="e">
        <f>IF(AND(#REF!="Muy Baja",#REF!="Leve"),CONCATENATE("R10C",#REF!),"")</f>
        <v>#REF!</v>
      </c>
      <c r="L55" s="164" t="e">
        <f>IF(AND(#REF!="Muy Baja",#REF!="Leve"),CONCATENATE("R10C",#REF!),"")</f>
        <v>#REF!</v>
      </c>
      <c r="M55" s="164" t="e">
        <f>IF(AND(#REF!="Muy Baja",#REF!="Leve"),CONCATENATE("R10C",#REF!),"")</f>
        <v>#REF!</v>
      </c>
      <c r="N55" s="164" t="e">
        <f>IF(AND(#REF!="Muy Baja",#REF!="Leve"),CONCATENATE("R10C",#REF!),"")</f>
        <v>#REF!</v>
      </c>
      <c r="O55" s="165" t="e">
        <f>IF(AND(#REF!="Muy Baja",#REF!="Leve"),CONCATENATE("R10C",#REF!),"")</f>
        <v>#REF!</v>
      </c>
      <c r="P55" s="163" t="e">
        <f>IF(AND(#REF!="Muy Baja",#REF!="Menor"),CONCATENATE("R10C",#REF!),"")</f>
        <v>#REF!</v>
      </c>
      <c r="Q55" s="164" t="e">
        <f>IF(AND(#REF!="Muy Baja",#REF!="Menor"),CONCATENATE("R10C",#REF!),"")</f>
        <v>#REF!</v>
      </c>
      <c r="R55" s="164" t="e">
        <f>IF(AND(#REF!="Muy Baja",#REF!="Menor"),CONCATENATE("R10C",#REF!),"")</f>
        <v>#REF!</v>
      </c>
      <c r="S55" s="164" t="e">
        <f>IF(AND(#REF!="Muy Baja",#REF!="Menor"),CONCATENATE("R10C",#REF!),"")</f>
        <v>#REF!</v>
      </c>
      <c r="T55" s="164" t="e">
        <f>IF(AND(#REF!="Muy Baja",#REF!="Menor"),CONCATENATE("R10C",#REF!),"")</f>
        <v>#REF!</v>
      </c>
      <c r="U55" s="165" t="e">
        <f>IF(AND(#REF!="Muy Baja",#REF!="Menor"),CONCATENATE("R10C",#REF!),"")</f>
        <v>#REF!</v>
      </c>
      <c r="V55" s="157" t="e">
        <f>IF(AND(#REF!="Muy Baja",#REF!="Moderado"),CONCATENATE("R10C",#REF!),"")</f>
        <v>#REF!</v>
      </c>
      <c r="W55" s="158" t="e">
        <f>IF(AND(#REF!="Muy Baja",#REF!="Moderado"),CONCATENATE("R10C",#REF!),"")</f>
        <v>#REF!</v>
      </c>
      <c r="X55" s="158" t="e">
        <f>IF(AND(#REF!="Muy Baja",#REF!="Moderado"),CONCATENATE("R10C",#REF!),"")</f>
        <v>#REF!</v>
      </c>
      <c r="Y55" s="158" t="e">
        <f>IF(AND(#REF!="Muy Baja",#REF!="Moderado"),CONCATENATE("R10C",#REF!),"")</f>
        <v>#REF!</v>
      </c>
      <c r="Z55" s="158" t="e">
        <f>IF(AND(#REF!="Muy Baja",#REF!="Moderado"),CONCATENATE("R10C",#REF!),"")</f>
        <v>#REF!</v>
      </c>
      <c r="AA55" s="159" t="e">
        <f>IF(AND(#REF!="Muy Baja",#REF!="Moderado"),CONCATENATE("R10C",#REF!),"")</f>
        <v>#REF!</v>
      </c>
      <c r="AB55" s="148" t="e">
        <f>IF(AND(#REF!="Muy Baja",#REF!="Mayor"),CONCATENATE("R10C",#REF!),"")</f>
        <v>#REF!</v>
      </c>
      <c r="AC55" s="149" t="e">
        <f>IF(AND(#REF!="Muy Baja",#REF!="Mayor"),CONCATENATE("R10C",#REF!),"")</f>
        <v>#REF!</v>
      </c>
      <c r="AD55" s="149" t="e">
        <f>IF(AND(#REF!="Muy Baja",#REF!="Mayor"),CONCATENATE("R10C",#REF!),"")</f>
        <v>#REF!</v>
      </c>
      <c r="AE55" s="149" t="e">
        <f>IF(AND(#REF!="Muy Baja",#REF!="Mayor"),CONCATENATE("R10C",#REF!),"")</f>
        <v>#REF!</v>
      </c>
      <c r="AF55" s="149" t="e">
        <f>IF(AND(#REF!="Muy Baja",#REF!="Mayor"),CONCATENATE("R10C",#REF!),"")</f>
        <v>#REF!</v>
      </c>
      <c r="AG55" s="150" t="e">
        <f>IF(AND(#REF!="Muy Baja",#REF!="Mayor"),CONCATENATE("R10C",#REF!),"")</f>
        <v>#REF!</v>
      </c>
      <c r="AH55" s="151" t="e">
        <f>IF(AND(#REF!="Muy Baja",#REF!="Catastrófico"),CONCATENATE("R10C",#REF!),"")</f>
        <v>#REF!</v>
      </c>
      <c r="AI55" s="152" t="e">
        <f>IF(AND(#REF!="Muy Baja",#REF!="Catastrófico"),CONCATENATE("R10C",#REF!),"")</f>
        <v>#REF!</v>
      </c>
      <c r="AJ55" s="152" t="e">
        <f>IF(AND(#REF!="Muy Baja",#REF!="Catastrófico"),CONCATENATE("R10C",#REF!),"")</f>
        <v>#REF!</v>
      </c>
      <c r="AK55" s="152" t="e">
        <f>IF(AND(#REF!="Muy Baja",#REF!="Catastrófico"),CONCATENATE("R10C",#REF!),"")</f>
        <v>#REF!</v>
      </c>
      <c r="AL55" s="152" t="e">
        <f>IF(AND(#REF!="Muy Baja",#REF!="Catastrófico"),CONCATENATE("R10C",#REF!),"")</f>
        <v>#REF!</v>
      </c>
      <c r="AM55" s="153" t="e">
        <f>IF(AND(#REF!="Muy Baja",#REF!="Catastrófico"),CONCATENATE("R10C",#REF!),"")</f>
        <v>#REF!</v>
      </c>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row>
    <row r="56" spans="1:61" ht="15.75" customHeight="1" x14ac:dyDescent="0.25">
      <c r="A56" s="115"/>
      <c r="B56" s="115"/>
      <c r="C56" s="115"/>
      <c r="D56" s="115"/>
      <c r="E56" s="115"/>
      <c r="F56" s="115"/>
      <c r="G56" s="115"/>
      <c r="H56" s="115"/>
      <c r="I56" s="115"/>
      <c r="J56" s="693" t="s">
        <v>12</v>
      </c>
      <c r="K56" s="656"/>
      <c r="L56" s="656"/>
      <c r="M56" s="656"/>
      <c r="N56" s="656"/>
      <c r="O56" s="657"/>
      <c r="P56" s="693" t="s">
        <v>13</v>
      </c>
      <c r="Q56" s="656"/>
      <c r="R56" s="656"/>
      <c r="S56" s="656"/>
      <c r="T56" s="656"/>
      <c r="U56" s="657"/>
      <c r="V56" s="693" t="s">
        <v>14</v>
      </c>
      <c r="W56" s="656"/>
      <c r="X56" s="656"/>
      <c r="Y56" s="656"/>
      <c r="Z56" s="656"/>
      <c r="AA56" s="657"/>
      <c r="AB56" s="693" t="s">
        <v>15</v>
      </c>
      <c r="AC56" s="656"/>
      <c r="AD56" s="656"/>
      <c r="AE56" s="656"/>
      <c r="AF56" s="656"/>
      <c r="AG56" s="657"/>
      <c r="AH56" s="693" t="s">
        <v>16</v>
      </c>
      <c r="AI56" s="656"/>
      <c r="AJ56" s="656"/>
      <c r="AK56" s="656"/>
      <c r="AL56" s="656"/>
      <c r="AM56" s="657"/>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row>
    <row r="57" spans="1:61" ht="15.75" customHeight="1" x14ac:dyDescent="0.25">
      <c r="A57" s="115"/>
      <c r="B57" s="115"/>
      <c r="C57" s="115"/>
      <c r="D57" s="115"/>
      <c r="E57" s="115"/>
      <c r="F57" s="115"/>
      <c r="G57" s="115"/>
      <c r="H57" s="115"/>
      <c r="I57" s="115"/>
      <c r="J57" s="659"/>
      <c r="K57" s="670"/>
      <c r="L57" s="670"/>
      <c r="M57" s="670"/>
      <c r="N57" s="670"/>
      <c r="O57" s="653"/>
      <c r="P57" s="659"/>
      <c r="Q57" s="670"/>
      <c r="R57" s="670"/>
      <c r="S57" s="670"/>
      <c r="T57" s="670"/>
      <c r="U57" s="653"/>
      <c r="V57" s="659"/>
      <c r="W57" s="670"/>
      <c r="X57" s="670"/>
      <c r="Y57" s="670"/>
      <c r="Z57" s="670"/>
      <c r="AA57" s="653"/>
      <c r="AB57" s="659"/>
      <c r="AC57" s="670"/>
      <c r="AD57" s="670"/>
      <c r="AE57" s="670"/>
      <c r="AF57" s="670"/>
      <c r="AG57" s="653"/>
      <c r="AH57" s="659"/>
      <c r="AI57" s="670"/>
      <c r="AJ57" s="670"/>
      <c r="AK57" s="670"/>
      <c r="AL57" s="670"/>
      <c r="AM57" s="653"/>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row>
    <row r="58" spans="1:61" ht="15.75" customHeight="1" x14ac:dyDescent="0.25">
      <c r="A58" s="115"/>
      <c r="B58" s="115"/>
      <c r="C58" s="115"/>
      <c r="D58" s="115"/>
      <c r="E58" s="115"/>
      <c r="F58" s="115"/>
      <c r="G58" s="115"/>
      <c r="H58" s="115"/>
      <c r="I58" s="115"/>
      <c r="J58" s="659"/>
      <c r="K58" s="670"/>
      <c r="L58" s="670"/>
      <c r="M58" s="670"/>
      <c r="N58" s="670"/>
      <c r="O58" s="653"/>
      <c r="P58" s="659"/>
      <c r="Q58" s="670"/>
      <c r="R58" s="670"/>
      <c r="S58" s="670"/>
      <c r="T58" s="670"/>
      <c r="U58" s="653"/>
      <c r="V58" s="659"/>
      <c r="W58" s="670"/>
      <c r="X58" s="670"/>
      <c r="Y58" s="670"/>
      <c r="Z58" s="670"/>
      <c r="AA58" s="653"/>
      <c r="AB58" s="659"/>
      <c r="AC58" s="670"/>
      <c r="AD58" s="670"/>
      <c r="AE58" s="670"/>
      <c r="AF58" s="670"/>
      <c r="AG58" s="653"/>
      <c r="AH58" s="659"/>
      <c r="AI58" s="670"/>
      <c r="AJ58" s="670"/>
      <c r="AK58" s="670"/>
      <c r="AL58" s="670"/>
      <c r="AM58" s="653"/>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row>
    <row r="59" spans="1:61" ht="15.75" customHeight="1" x14ac:dyDescent="0.25">
      <c r="A59" s="115"/>
      <c r="B59" s="115"/>
      <c r="C59" s="115"/>
      <c r="D59" s="115"/>
      <c r="E59" s="115"/>
      <c r="F59" s="115"/>
      <c r="G59" s="115"/>
      <c r="H59" s="115"/>
      <c r="I59" s="115"/>
      <c r="J59" s="659"/>
      <c r="K59" s="670"/>
      <c r="L59" s="670"/>
      <c r="M59" s="670"/>
      <c r="N59" s="670"/>
      <c r="O59" s="653"/>
      <c r="P59" s="659"/>
      <c r="Q59" s="670"/>
      <c r="R59" s="670"/>
      <c r="S59" s="670"/>
      <c r="T59" s="670"/>
      <c r="U59" s="653"/>
      <c r="V59" s="659"/>
      <c r="W59" s="670"/>
      <c r="X59" s="670"/>
      <c r="Y59" s="670"/>
      <c r="Z59" s="670"/>
      <c r="AA59" s="653"/>
      <c r="AB59" s="659"/>
      <c r="AC59" s="670"/>
      <c r="AD59" s="670"/>
      <c r="AE59" s="670"/>
      <c r="AF59" s="670"/>
      <c r="AG59" s="653"/>
      <c r="AH59" s="659"/>
      <c r="AI59" s="670"/>
      <c r="AJ59" s="670"/>
      <c r="AK59" s="670"/>
      <c r="AL59" s="670"/>
      <c r="AM59" s="653"/>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row>
    <row r="60" spans="1:61" ht="15.75" customHeight="1" x14ac:dyDescent="0.25">
      <c r="A60" s="115"/>
      <c r="B60" s="115"/>
      <c r="C60" s="115"/>
      <c r="D60" s="115"/>
      <c r="E60" s="115"/>
      <c r="F60" s="115"/>
      <c r="G60" s="115"/>
      <c r="H60" s="115"/>
      <c r="I60" s="115"/>
      <c r="J60" s="659"/>
      <c r="K60" s="670"/>
      <c r="L60" s="670"/>
      <c r="M60" s="670"/>
      <c r="N60" s="670"/>
      <c r="O60" s="653"/>
      <c r="P60" s="659"/>
      <c r="Q60" s="670"/>
      <c r="R60" s="670"/>
      <c r="S60" s="670"/>
      <c r="T60" s="670"/>
      <c r="U60" s="653"/>
      <c r="V60" s="659"/>
      <c r="W60" s="670"/>
      <c r="X60" s="670"/>
      <c r="Y60" s="670"/>
      <c r="Z60" s="670"/>
      <c r="AA60" s="653"/>
      <c r="AB60" s="659"/>
      <c r="AC60" s="670"/>
      <c r="AD60" s="670"/>
      <c r="AE60" s="670"/>
      <c r="AF60" s="670"/>
      <c r="AG60" s="653"/>
      <c r="AH60" s="659"/>
      <c r="AI60" s="670"/>
      <c r="AJ60" s="670"/>
      <c r="AK60" s="670"/>
      <c r="AL60" s="670"/>
      <c r="AM60" s="653"/>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row>
    <row r="61" spans="1:61" ht="15.75" customHeight="1" thickBot="1" x14ac:dyDescent="0.3">
      <c r="A61" s="115"/>
      <c r="B61" s="115"/>
      <c r="C61" s="115"/>
      <c r="D61" s="115"/>
      <c r="E61" s="115"/>
      <c r="F61" s="115"/>
      <c r="G61" s="115"/>
      <c r="H61" s="115"/>
      <c r="I61" s="115"/>
      <c r="J61" s="671"/>
      <c r="K61" s="672"/>
      <c r="L61" s="672"/>
      <c r="M61" s="672"/>
      <c r="N61" s="672"/>
      <c r="O61" s="673"/>
      <c r="P61" s="671"/>
      <c r="Q61" s="672"/>
      <c r="R61" s="672"/>
      <c r="S61" s="672"/>
      <c r="T61" s="672"/>
      <c r="U61" s="673"/>
      <c r="V61" s="671"/>
      <c r="W61" s="672"/>
      <c r="X61" s="672"/>
      <c r="Y61" s="672"/>
      <c r="Z61" s="672"/>
      <c r="AA61" s="673"/>
      <c r="AB61" s="671"/>
      <c r="AC61" s="672"/>
      <c r="AD61" s="672"/>
      <c r="AE61" s="672"/>
      <c r="AF61" s="672"/>
      <c r="AG61" s="673"/>
      <c r="AH61" s="671"/>
      <c r="AI61" s="672"/>
      <c r="AJ61" s="672"/>
      <c r="AK61" s="672"/>
      <c r="AL61" s="672"/>
      <c r="AM61" s="673"/>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row>
    <row r="62" spans="1:61" ht="15.75" customHeight="1" x14ac:dyDescent="0.25">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row>
    <row r="63" spans="1:61" ht="15" customHeight="1" x14ac:dyDescent="0.25">
      <c r="A63" s="115"/>
      <c r="B63" s="141"/>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15"/>
      <c r="AV63" s="115"/>
      <c r="AW63" s="115"/>
      <c r="AX63" s="115"/>
      <c r="AY63" s="115"/>
      <c r="AZ63" s="115"/>
      <c r="BA63" s="115"/>
      <c r="BB63" s="115"/>
      <c r="BC63" s="115"/>
      <c r="BD63" s="115"/>
      <c r="BE63" s="115"/>
      <c r="BF63" s="115"/>
      <c r="BG63" s="115"/>
      <c r="BH63" s="115"/>
    </row>
    <row r="64" spans="1:61" ht="15" customHeight="1" x14ac:dyDescent="0.25">
      <c r="A64" s="115"/>
      <c r="B64" s="141"/>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141"/>
      <c r="AB64" s="141"/>
      <c r="AC64" s="141"/>
      <c r="AD64" s="141"/>
      <c r="AE64" s="141"/>
      <c r="AF64" s="141"/>
      <c r="AG64" s="141"/>
      <c r="AH64" s="141"/>
      <c r="AI64" s="141"/>
      <c r="AJ64" s="141"/>
      <c r="AK64" s="141"/>
      <c r="AL64" s="141"/>
      <c r="AM64" s="141"/>
      <c r="AN64" s="141"/>
      <c r="AO64" s="141"/>
      <c r="AP64" s="141"/>
      <c r="AQ64" s="141"/>
      <c r="AR64" s="141"/>
      <c r="AS64" s="141"/>
      <c r="AT64" s="141"/>
      <c r="AU64" s="115"/>
      <c r="AV64" s="115"/>
      <c r="AW64" s="115"/>
      <c r="AX64" s="115"/>
      <c r="AY64" s="115"/>
      <c r="AZ64" s="115"/>
      <c r="BA64" s="115"/>
      <c r="BB64" s="115"/>
      <c r="BC64" s="115"/>
      <c r="BD64" s="115"/>
      <c r="BE64" s="115"/>
      <c r="BF64" s="115"/>
      <c r="BG64" s="115"/>
      <c r="BH64" s="115"/>
    </row>
    <row r="65" spans="1:60" ht="15.75" customHeight="1" x14ac:dyDescent="0.25">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row>
    <row r="66" spans="1:60" ht="15.75" customHeight="1" x14ac:dyDescent="0.25">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row>
    <row r="67" spans="1:60" ht="15.75" customHeight="1" x14ac:dyDescent="0.25">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row>
    <row r="68" spans="1:60" ht="15.75" customHeight="1" x14ac:dyDescent="0.25">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row>
    <row r="69" spans="1:60" ht="15.75" customHeight="1" x14ac:dyDescent="0.25">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row>
    <row r="70" spans="1:60" ht="15.75" customHeight="1" x14ac:dyDescent="0.25">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row>
    <row r="71" spans="1:60" ht="15.75" customHeight="1" x14ac:dyDescent="0.25">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row>
    <row r="72" spans="1:60" ht="15.75" customHeight="1" x14ac:dyDescent="0.25">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row>
    <row r="73" spans="1:60" ht="15.75" customHeight="1" x14ac:dyDescent="0.25">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row>
    <row r="74" spans="1:60" ht="15.75" customHeight="1" x14ac:dyDescent="0.25">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row>
    <row r="75" spans="1:60" ht="15.75" customHeight="1" x14ac:dyDescent="0.25">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row>
    <row r="76" spans="1:60" ht="15.75" customHeight="1" x14ac:dyDescent="0.25">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row>
    <row r="77" spans="1:60" ht="15.75"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row>
    <row r="78" spans="1:60" ht="15.75" customHeight="1" x14ac:dyDescent="0.25">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row>
    <row r="79" spans="1:60" ht="15.75"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row>
    <row r="80" spans="1:60" ht="15.75" customHeight="1" x14ac:dyDescent="0.25">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row>
    <row r="81" spans="1:60" ht="15.75" customHeight="1" x14ac:dyDescent="0.25">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row>
    <row r="82" spans="1:60" ht="15.75" customHeight="1" x14ac:dyDescent="0.25">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row>
    <row r="83" spans="1:60" ht="15.75" customHeight="1" x14ac:dyDescent="0.25">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row>
    <row r="84" spans="1:60" ht="15.75" customHeight="1" x14ac:dyDescent="0.25">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row>
    <row r="85" spans="1:60" ht="15.75" customHeight="1" x14ac:dyDescent="0.25">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row>
    <row r="86" spans="1:60" ht="15.75" customHeight="1" x14ac:dyDescent="0.25">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row>
    <row r="87" spans="1:60" ht="15.75" customHeight="1" x14ac:dyDescent="0.25">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row>
    <row r="88" spans="1:60" ht="15.75" customHeight="1" x14ac:dyDescent="0.25">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row>
    <row r="89" spans="1:60" ht="15.75" customHeight="1" x14ac:dyDescent="0.25">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row>
    <row r="90" spans="1:60" ht="15.75" customHeight="1" x14ac:dyDescent="0.25">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row>
    <row r="91" spans="1:60" ht="15.75" customHeight="1" x14ac:dyDescent="0.25">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row>
    <row r="92" spans="1:60" ht="15.75" customHeight="1" x14ac:dyDescent="0.25">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row>
    <row r="93" spans="1:60" ht="15.75" customHeight="1" x14ac:dyDescent="0.25">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row>
    <row r="94" spans="1:60" ht="15.75" customHeight="1" x14ac:dyDescent="0.25">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row>
    <row r="95" spans="1:60" ht="15.75" customHeight="1" x14ac:dyDescent="0.25">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row>
    <row r="96" spans="1:60" ht="15.75" customHeight="1" x14ac:dyDescent="0.25">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row>
    <row r="97" spans="1:60" ht="15.75" customHeight="1" x14ac:dyDescent="0.25">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row>
    <row r="98" spans="1:60" ht="15.75" customHeight="1" x14ac:dyDescent="0.25">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row>
    <row r="99" spans="1:60" ht="15.75" customHeight="1" x14ac:dyDescent="0.25">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row>
    <row r="100" spans="1:60" ht="15.75"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row>
    <row r="101" spans="1:60" ht="15.75" customHeight="1" x14ac:dyDescent="0.25">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row>
    <row r="102" spans="1:60" ht="15.75" customHeight="1" x14ac:dyDescent="0.25">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row>
    <row r="103" spans="1:60" ht="15.75" customHeight="1" x14ac:dyDescent="0.25">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row>
    <row r="104" spans="1:60" ht="15.75" customHeight="1" x14ac:dyDescent="0.25">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row>
    <row r="105" spans="1:60" ht="15.75" customHeight="1" x14ac:dyDescent="0.25">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row>
    <row r="106" spans="1:60" ht="15.75" customHeight="1" x14ac:dyDescent="0.25">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row>
    <row r="107" spans="1:60" ht="15.75" customHeight="1" x14ac:dyDescent="0.25">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row>
    <row r="108" spans="1:60" ht="15.75" customHeight="1" x14ac:dyDescent="0.25">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row>
    <row r="109" spans="1:60" ht="15.75" customHeight="1" x14ac:dyDescent="0.25">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row>
    <row r="110" spans="1:60" ht="15.75" customHeight="1" x14ac:dyDescent="0.25">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row>
    <row r="111" spans="1:60" ht="15.75"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row>
    <row r="112" spans="1:60" ht="15.75" customHeight="1" x14ac:dyDescent="0.25">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row>
    <row r="113" spans="1:60" ht="15.75" customHeight="1" x14ac:dyDescent="0.25">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row>
    <row r="114" spans="1:60" ht="15.75" customHeight="1" x14ac:dyDescent="0.25">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row>
    <row r="115" spans="1:60" ht="15.75" customHeight="1" x14ac:dyDescent="0.25">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row>
    <row r="116" spans="1:60" ht="15.75" customHeight="1" x14ac:dyDescent="0.25">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row>
    <row r="117" spans="1:60" ht="15.75" customHeight="1" x14ac:dyDescent="0.25">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row>
    <row r="118" spans="1:60" ht="15.75" customHeight="1" x14ac:dyDescent="0.25">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row>
    <row r="119" spans="1:60" ht="15.75" customHeight="1" x14ac:dyDescent="0.25">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row>
    <row r="120" spans="1:60" ht="15.75" customHeight="1" x14ac:dyDescent="0.25">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row>
    <row r="121" spans="1:60" ht="15.75" customHeight="1" x14ac:dyDescent="0.25">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row>
    <row r="122" spans="1:60" ht="15.75" customHeight="1" x14ac:dyDescent="0.25">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row>
    <row r="123" spans="1:60" ht="15.75" customHeight="1" x14ac:dyDescent="0.25">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row>
    <row r="124" spans="1:60" ht="15.75" customHeight="1" x14ac:dyDescent="0.25">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row>
    <row r="125" spans="1:60" ht="15.75" customHeight="1" x14ac:dyDescent="0.25">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row>
    <row r="126" spans="1:60" ht="15.75" customHeight="1" x14ac:dyDescent="0.25">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row>
    <row r="127" spans="1:60" ht="15.75" customHeight="1" x14ac:dyDescent="0.25">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row>
    <row r="128" spans="1:60" ht="15.75"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row>
    <row r="129" spans="1:60" ht="15.75" customHeight="1" x14ac:dyDescent="0.25">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row>
    <row r="130" spans="1:60" ht="15.75" customHeight="1" x14ac:dyDescent="0.25">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row>
    <row r="131" spans="1:60" ht="15.75" customHeight="1" x14ac:dyDescent="0.25">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row>
    <row r="132" spans="1:60" ht="15.75" customHeight="1" x14ac:dyDescent="0.25">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row>
    <row r="133" spans="1:60" ht="15.75" customHeight="1" x14ac:dyDescent="0.25">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row>
    <row r="134" spans="1:60" ht="15.75" customHeight="1" x14ac:dyDescent="0.25">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row>
    <row r="135" spans="1:60" ht="15.75" customHeight="1" x14ac:dyDescent="0.25">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row>
    <row r="136" spans="1:60" ht="15.75" customHeight="1" x14ac:dyDescent="0.25">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row>
    <row r="137" spans="1:60" ht="15.75" customHeight="1" x14ac:dyDescent="0.25">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row>
    <row r="138" spans="1:60" ht="15.75" customHeight="1" x14ac:dyDescent="0.25">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row>
    <row r="139" spans="1:60" ht="15.75" customHeight="1" x14ac:dyDescent="0.25">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row>
    <row r="140" spans="1:60" ht="15.75" customHeight="1" x14ac:dyDescent="0.25">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row>
    <row r="141" spans="1:60" ht="15.75" customHeight="1" x14ac:dyDescent="0.25">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row>
    <row r="142" spans="1:60" ht="15.75" customHeight="1" x14ac:dyDescent="0.25">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row>
    <row r="143" spans="1:60" ht="15.75" customHeight="1" x14ac:dyDescent="0.25">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row>
    <row r="144" spans="1:60" ht="15.75" customHeight="1" x14ac:dyDescent="0.25">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row>
    <row r="145" spans="1:60" ht="15.75" customHeight="1" x14ac:dyDescent="0.25">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row>
    <row r="146" spans="1:60" ht="15.75" customHeight="1" x14ac:dyDescent="0.25">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row>
    <row r="147" spans="1:60" ht="15.75" customHeight="1" x14ac:dyDescent="0.25">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row>
    <row r="148" spans="1:60" ht="15.75" customHeight="1" x14ac:dyDescent="0.25">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row>
    <row r="149" spans="1:60" ht="15.75" customHeight="1" x14ac:dyDescent="0.25">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row>
    <row r="150" spans="1:60" ht="15.75" customHeight="1" x14ac:dyDescent="0.25">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row>
    <row r="151" spans="1:60" ht="15.75" customHeight="1" x14ac:dyDescent="0.25">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row>
    <row r="152" spans="1:60" ht="15.75" customHeight="1" x14ac:dyDescent="0.25">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row>
    <row r="153" spans="1:60" ht="15.75" customHeight="1" x14ac:dyDescent="0.25">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row>
    <row r="154" spans="1:60" ht="15.75" customHeight="1" x14ac:dyDescent="0.25">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row>
    <row r="155" spans="1:60" ht="15.75" customHeight="1" x14ac:dyDescent="0.25">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row>
    <row r="156" spans="1:60" ht="15.75" customHeight="1" x14ac:dyDescent="0.25">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row>
    <row r="157" spans="1:60" ht="15.75" customHeight="1" x14ac:dyDescent="0.25">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row>
    <row r="158" spans="1:60" ht="15.75" customHeight="1" x14ac:dyDescent="0.25">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row>
    <row r="159" spans="1:60" ht="15.75" customHeight="1" x14ac:dyDescent="0.25">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row>
    <row r="160" spans="1:60" ht="15.75" customHeight="1" x14ac:dyDescent="0.25">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row>
    <row r="161" spans="1:60" ht="15.75" customHeight="1" x14ac:dyDescent="0.25">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row>
    <row r="162" spans="1:60" ht="15.75" customHeight="1" x14ac:dyDescent="0.25">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row>
    <row r="163" spans="1:60" ht="15.75" customHeight="1" x14ac:dyDescent="0.25">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row>
    <row r="164" spans="1:60" ht="15.75" customHeight="1" x14ac:dyDescent="0.25">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row>
    <row r="165" spans="1:60" ht="15.75" customHeight="1" x14ac:dyDescent="0.25">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row>
    <row r="166" spans="1:60" ht="15.75" customHeight="1" x14ac:dyDescent="0.25">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row>
    <row r="167" spans="1:60" ht="15.75" customHeight="1" x14ac:dyDescent="0.25">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row>
    <row r="168" spans="1:60" ht="15.75" customHeight="1" x14ac:dyDescent="0.25">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row>
    <row r="169" spans="1:60" ht="15.75" customHeight="1" x14ac:dyDescent="0.25">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row>
    <row r="170" spans="1:60" ht="15.75" customHeight="1" x14ac:dyDescent="0.25">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row>
    <row r="171" spans="1:60" ht="15.75" customHeight="1" x14ac:dyDescent="0.25">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row>
    <row r="172" spans="1:60" ht="15.75" customHeight="1" x14ac:dyDescent="0.25">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row>
    <row r="173" spans="1:60" ht="15.75" customHeight="1" x14ac:dyDescent="0.25">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row>
    <row r="174" spans="1:60" ht="15.75" customHeight="1" x14ac:dyDescent="0.25">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row>
    <row r="175" spans="1:60" ht="15.75" customHeight="1" x14ac:dyDescent="0.25">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row>
    <row r="176" spans="1:60" ht="15.75" customHeight="1" x14ac:dyDescent="0.25">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row>
    <row r="177" spans="1:60" ht="15.75" customHeight="1" x14ac:dyDescent="0.25">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row>
    <row r="178" spans="1:60" ht="15.75" customHeight="1" x14ac:dyDescent="0.25">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row>
    <row r="179" spans="1:60" ht="15.75" customHeight="1" x14ac:dyDescent="0.25">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row>
    <row r="180" spans="1:60" ht="15.75" customHeight="1" x14ac:dyDescent="0.25">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row>
    <row r="181" spans="1:60" ht="15.75" customHeight="1" x14ac:dyDescent="0.25">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row>
    <row r="182" spans="1:60" ht="15.75" customHeight="1" x14ac:dyDescent="0.25">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row>
    <row r="183" spans="1:60" ht="15.75" customHeight="1" x14ac:dyDescent="0.25">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row>
    <row r="184" spans="1:60" ht="15.75" customHeight="1" x14ac:dyDescent="0.25">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row>
    <row r="185" spans="1:60" ht="15.75" customHeight="1" x14ac:dyDescent="0.25">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row>
    <row r="186" spans="1:60" ht="15.75" customHeight="1" x14ac:dyDescent="0.25">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row>
    <row r="187" spans="1:60" ht="15.75" customHeight="1" x14ac:dyDescent="0.25">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row>
    <row r="188" spans="1:60" ht="15.75" customHeight="1" x14ac:dyDescent="0.25">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row>
    <row r="189" spans="1:60" ht="15.75" customHeight="1" x14ac:dyDescent="0.25">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row>
    <row r="190" spans="1:60" ht="15.75" customHeight="1" x14ac:dyDescent="0.25">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row>
    <row r="191" spans="1:60" ht="15.75" customHeight="1" x14ac:dyDescent="0.25">
      <c r="A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row>
    <row r="192" spans="1:60" ht="15.75" customHeight="1" x14ac:dyDescent="0.25">
      <c r="A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row>
    <row r="193" spans="1:60" ht="15.75" customHeight="1" x14ac:dyDescent="0.25">
      <c r="A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row>
    <row r="194" spans="1:60" ht="15.75" customHeight="1" x14ac:dyDescent="0.25">
      <c r="A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row>
    <row r="195" spans="1:60" ht="15.75" customHeight="1" x14ac:dyDescent="0.25">
      <c r="A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row>
    <row r="196" spans="1:60" ht="15.75" customHeight="1" x14ac:dyDescent="0.25">
      <c r="A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row>
    <row r="197" spans="1:60" ht="15.75" customHeight="1" x14ac:dyDescent="0.25">
      <c r="A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row>
    <row r="198" spans="1:60" ht="15.75" customHeight="1" x14ac:dyDescent="0.25">
      <c r="A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row>
    <row r="199" spans="1:60" ht="15.75" customHeight="1" x14ac:dyDescent="0.25">
      <c r="A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row>
    <row r="200" spans="1:60" ht="15.75" customHeight="1" x14ac:dyDescent="0.25">
      <c r="A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row>
    <row r="201" spans="1:60" ht="15.75" customHeight="1" x14ac:dyDescent="0.25">
      <c r="A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row>
    <row r="202" spans="1:60" ht="15.75" customHeight="1" x14ac:dyDescent="0.25">
      <c r="A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row>
    <row r="203" spans="1:60" ht="15.75" customHeight="1" x14ac:dyDescent="0.25">
      <c r="A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row>
    <row r="204" spans="1:60" ht="15.75" customHeight="1" x14ac:dyDescent="0.25">
      <c r="A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row>
    <row r="205" spans="1:60" ht="15.75" customHeight="1" x14ac:dyDescent="0.25">
      <c r="A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row>
    <row r="206" spans="1:60" ht="15.75" customHeight="1" x14ac:dyDescent="0.25">
      <c r="A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row>
    <row r="207" spans="1:60" ht="15.75" customHeight="1" x14ac:dyDescent="0.25">
      <c r="A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row>
    <row r="208" spans="1:60" ht="15.75" customHeight="1" x14ac:dyDescent="0.25">
      <c r="A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row>
    <row r="209" spans="1:60" ht="15.75" customHeight="1" x14ac:dyDescent="0.25">
      <c r="A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row>
    <row r="210" spans="1:60" ht="15.75" customHeight="1" x14ac:dyDescent="0.25">
      <c r="A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row>
    <row r="211" spans="1:60" ht="15.75" customHeight="1" x14ac:dyDescent="0.25">
      <c r="A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row>
    <row r="212" spans="1:60" ht="15.75" customHeight="1" x14ac:dyDescent="0.25">
      <c r="A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row>
    <row r="213" spans="1:60" ht="15.75" customHeight="1" x14ac:dyDescent="0.25">
      <c r="A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row>
    <row r="214" spans="1:60" ht="15.75" customHeight="1" x14ac:dyDescent="0.25">
      <c r="A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row>
    <row r="215" spans="1:60" ht="15.75" customHeight="1" x14ac:dyDescent="0.25">
      <c r="A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row>
    <row r="216" spans="1:60" ht="15.75" customHeight="1" x14ac:dyDescent="0.25">
      <c r="A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row>
    <row r="217" spans="1:60" ht="15.75" customHeight="1" x14ac:dyDescent="0.25">
      <c r="A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row>
    <row r="218" spans="1:60" ht="15.75" customHeight="1" x14ac:dyDescent="0.25">
      <c r="A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row>
    <row r="219" spans="1:60" ht="15.75" customHeight="1" x14ac:dyDescent="0.25">
      <c r="A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row>
    <row r="220" spans="1:60" ht="15.75" customHeight="1" x14ac:dyDescent="0.25">
      <c r="A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row>
    <row r="221" spans="1:60" ht="15.75" customHeight="1" x14ac:dyDescent="0.25">
      <c r="A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row>
    <row r="222" spans="1:60" ht="15.75" customHeight="1" x14ac:dyDescent="0.25">
      <c r="A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row>
    <row r="223" spans="1:60" ht="15.75" customHeight="1" x14ac:dyDescent="0.25">
      <c r="A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row>
    <row r="224" spans="1:60" ht="15.75" customHeight="1" x14ac:dyDescent="0.25">
      <c r="A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row>
    <row r="225" spans="1:60" ht="15.75" customHeight="1" x14ac:dyDescent="0.25">
      <c r="A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row>
    <row r="226" spans="1:60" ht="15.75" customHeight="1" x14ac:dyDescent="0.25">
      <c r="A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row>
    <row r="227" spans="1:60" ht="15.75" customHeight="1" x14ac:dyDescent="0.25">
      <c r="A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row>
    <row r="228" spans="1:60" ht="15.75" customHeight="1" x14ac:dyDescent="0.25">
      <c r="A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row>
    <row r="229" spans="1:60" ht="15.75" customHeight="1" x14ac:dyDescent="0.25">
      <c r="A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row>
    <row r="230" spans="1:60" ht="15.75" customHeight="1" x14ac:dyDescent="0.25">
      <c r="A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row>
    <row r="231" spans="1:60" ht="15.75" customHeight="1" x14ac:dyDescent="0.25">
      <c r="A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row>
    <row r="232" spans="1:60" ht="15.75" customHeight="1" x14ac:dyDescent="0.25">
      <c r="A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row>
    <row r="233" spans="1:60" ht="15.75" customHeight="1" x14ac:dyDescent="0.25">
      <c r="A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row>
    <row r="234" spans="1:60" ht="15.75" customHeight="1" x14ac:dyDescent="0.25">
      <c r="A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row>
    <row r="235" spans="1:60" ht="15.75" customHeight="1" x14ac:dyDescent="0.25">
      <c r="A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row>
    <row r="236" spans="1:60" ht="15.75" customHeight="1" x14ac:dyDescent="0.25">
      <c r="A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row>
    <row r="237" spans="1:60" ht="15.75" customHeight="1" x14ac:dyDescent="0.25">
      <c r="A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row>
    <row r="238" spans="1:60" ht="15.75" customHeight="1" x14ac:dyDescent="0.25">
      <c r="A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row>
    <row r="239" spans="1:60" ht="15.75" customHeight="1" x14ac:dyDescent="0.25">
      <c r="A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row>
    <row r="240" spans="1:60" ht="15.75" customHeight="1" x14ac:dyDescent="0.25">
      <c r="A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row>
    <row r="241" spans="1:60" ht="15.75" customHeight="1" x14ac:dyDescent="0.25">
      <c r="A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row>
    <row r="242" spans="1:60" ht="15.75" customHeight="1" x14ac:dyDescent="0.25">
      <c r="A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row>
    <row r="243" spans="1:60" ht="15.75" customHeight="1" x14ac:dyDescent="0.25">
      <c r="A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row>
    <row r="244" spans="1:60" ht="15.75" customHeight="1" x14ac:dyDescent="0.25">
      <c r="A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row>
    <row r="245" spans="1:60" ht="15.75" customHeight="1" x14ac:dyDescent="0.25">
      <c r="A245" s="115"/>
    </row>
    <row r="246" spans="1:60" ht="15.75" customHeight="1" x14ac:dyDescent="0.25">
      <c r="A246" s="115"/>
    </row>
    <row r="247" spans="1:60" ht="15.75" customHeight="1" x14ac:dyDescent="0.25">
      <c r="A247" s="115"/>
    </row>
    <row r="248" spans="1:60" ht="15.75" customHeight="1" x14ac:dyDescent="0.25">
      <c r="A248" s="115"/>
    </row>
    <row r="249" spans="1:60" ht="15.75" customHeight="1" x14ac:dyDescent="0.2"/>
    <row r="250" spans="1:60" ht="15.75" customHeight="1" x14ac:dyDescent="0.2"/>
    <row r="251" spans="1:60" ht="15.75" customHeight="1" x14ac:dyDescent="0.2"/>
    <row r="252" spans="1:60" ht="15.75" customHeight="1" x14ac:dyDescent="0.2"/>
    <row r="253" spans="1:60" ht="15.75" customHeight="1" x14ac:dyDescent="0.2"/>
    <row r="254" spans="1:60" ht="15.75" customHeight="1" x14ac:dyDescent="0.2"/>
    <row r="255" spans="1:60" ht="15.75" customHeight="1" x14ac:dyDescent="0.2"/>
    <row r="256" spans="1:60"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0866141732283472" right="0.70866141732283472" top="0.74803149606299213" bottom="0.74803149606299213" header="0" footer="0"/>
  <pageSetup scale="39" orientation="portrait" r:id="rId1"/>
  <headerFooter>
    <oddHeader>&amp;L&amp;G&amp;C
MATRIZ DE RIESGOS&amp;RCódigo:E-02-F-014
Versión: 4
Fecha: Ver Isolución</oddHeader>
  </headerFooter>
  <colBreaks count="1" manualBreakCount="1">
    <brk id="39"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X1001"/>
  <sheetViews>
    <sheetView zoomScaleNormal="100" workbookViewId="0">
      <selection activeCell="D22" sqref="D22"/>
    </sheetView>
  </sheetViews>
  <sheetFormatPr baseColWidth="10" defaultColWidth="12.625" defaultRowHeight="15" customHeight="1" x14ac:dyDescent="0.2"/>
  <cols>
    <col min="1" max="1" width="9.375" customWidth="1"/>
    <col min="2" max="2" width="21.125" customWidth="1"/>
    <col min="3" max="3" width="61.375" customWidth="1"/>
    <col min="4" max="4" width="26.125" customWidth="1"/>
    <col min="5" max="26" width="9.375" customWidth="1"/>
  </cols>
  <sheetData>
    <row r="2" spans="1:24" ht="23.25" x14ac:dyDescent="0.25">
      <c r="A2" s="115"/>
      <c r="B2" s="914" t="s">
        <v>1849</v>
      </c>
      <c r="C2" s="670"/>
      <c r="D2" s="670"/>
      <c r="E2" s="115"/>
      <c r="F2" s="115"/>
      <c r="G2" s="115"/>
      <c r="H2" s="115"/>
      <c r="I2" s="115"/>
      <c r="J2" s="115"/>
      <c r="K2" s="115"/>
      <c r="L2" s="115"/>
      <c r="M2" s="115"/>
      <c r="N2" s="115"/>
      <c r="O2" s="115"/>
      <c r="P2" s="115"/>
      <c r="Q2" s="115"/>
      <c r="R2" s="115"/>
      <c r="S2" s="115"/>
      <c r="T2" s="115"/>
      <c r="U2" s="115"/>
      <c r="V2" s="115"/>
      <c r="W2" s="115"/>
      <c r="X2" s="115"/>
    </row>
    <row r="3" spans="1:24" x14ac:dyDescent="0.25">
      <c r="A3" s="115"/>
      <c r="B3" s="115"/>
      <c r="C3" s="115"/>
      <c r="D3" s="115"/>
      <c r="E3" s="115"/>
      <c r="F3" s="115"/>
      <c r="G3" s="115"/>
      <c r="H3" s="115"/>
      <c r="I3" s="115"/>
      <c r="J3" s="115"/>
      <c r="K3" s="115"/>
      <c r="L3" s="115"/>
      <c r="M3" s="115"/>
      <c r="N3" s="115"/>
      <c r="O3" s="115"/>
      <c r="P3" s="115"/>
      <c r="Q3" s="115"/>
      <c r="R3" s="115"/>
      <c r="S3" s="115"/>
      <c r="T3" s="115"/>
      <c r="U3" s="115"/>
      <c r="V3" s="115"/>
      <c r="W3" s="115"/>
      <c r="X3" s="115"/>
    </row>
    <row r="4" spans="1:24" ht="25.5" x14ac:dyDescent="0.25">
      <c r="A4" s="115"/>
      <c r="B4" s="32"/>
      <c r="C4" s="166" t="s">
        <v>1850</v>
      </c>
      <c r="D4" s="166" t="s">
        <v>2</v>
      </c>
      <c r="E4" s="115"/>
      <c r="F4" s="115"/>
      <c r="G4" s="115"/>
      <c r="H4" s="115"/>
      <c r="I4" s="115"/>
      <c r="J4" s="115"/>
      <c r="K4" s="115"/>
      <c r="L4" s="115"/>
      <c r="M4" s="115"/>
      <c r="N4" s="115"/>
      <c r="O4" s="115"/>
      <c r="P4" s="115"/>
      <c r="Q4" s="115"/>
      <c r="R4" s="115"/>
      <c r="S4" s="115"/>
      <c r="T4" s="115"/>
      <c r="U4" s="115"/>
      <c r="V4" s="115"/>
      <c r="W4" s="115"/>
      <c r="X4" s="115"/>
    </row>
    <row r="5" spans="1:24" ht="51" x14ac:dyDescent="0.25">
      <c r="A5" s="115"/>
      <c r="B5" s="167" t="s">
        <v>1851</v>
      </c>
      <c r="C5" s="33" t="s">
        <v>1852</v>
      </c>
      <c r="D5" s="34">
        <v>0.2</v>
      </c>
      <c r="E5" s="115"/>
      <c r="F5" s="115"/>
      <c r="G5" s="115"/>
      <c r="H5" s="115"/>
      <c r="I5" s="115"/>
      <c r="J5" s="115"/>
      <c r="K5" s="115"/>
      <c r="L5" s="115"/>
      <c r="M5" s="115"/>
      <c r="N5" s="115"/>
      <c r="O5" s="115"/>
      <c r="P5" s="115"/>
      <c r="Q5" s="115"/>
      <c r="R5" s="115"/>
      <c r="S5" s="115"/>
      <c r="T5" s="115"/>
      <c r="U5" s="115"/>
      <c r="V5" s="115"/>
      <c r="W5" s="115"/>
      <c r="X5" s="115"/>
    </row>
    <row r="6" spans="1:24" ht="51" x14ac:dyDescent="0.25">
      <c r="A6" s="115"/>
      <c r="B6" s="35" t="s">
        <v>1853</v>
      </c>
      <c r="C6" s="36" t="s">
        <v>1854</v>
      </c>
      <c r="D6" s="37">
        <v>0.4</v>
      </c>
      <c r="E6" s="115"/>
      <c r="F6" s="115"/>
      <c r="G6" s="115"/>
      <c r="H6" s="115"/>
      <c r="I6" s="115"/>
      <c r="J6" s="115"/>
      <c r="K6" s="115"/>
      <c r="L6" s="115"/>
      <c r="M6" s="115"/>
      <c r="N6" s="115"/>
      <c r="O6" s="115"/>
      <c r="P6" s="115"/>
      <c r="Q6" s="115"/>
      <c r="R6" s="115"/>
      <c r="S6" s="115"/>
      <c r="T6" s="115"/>
      <c r="U6" s="115"/>
      <c r="V6" s="115"/>
      <c r="W6" s="115"/>
      <c r="X6" s="115"/>
    </row>
    <row r="7" spans="1:24" ht="51" x14ac:dyDescent="0.25">
      <c r="A7" s="115"/>
      <c r="B7" s="38" t="s">
        <v>1855</v>
      </c>
      <c r="C7" s="36" t="s">
        <v>1856</v>
      </c>
      <c r="D7" s="37">
        <v>0.6</v>
      </c>
      <c r="E7" s="115"/>
      <c r="F7" s="115"/>
      <c r="G7" s="115"/>
      <c r="H7" s="115"/>
      <c r="I7" s="115"/>
      <c r="J7" s="115"/>
      <c r="K7" s="115"/>
      <c r="L7" s="115"/>
      <c r="M7" s="115"/>
      <c r="N7" s="115"/>
      <c r="O7" s="115"/>
      <c r="P7" s="115"/>
      <c r="Q7" s="115"/>
      <c r="R7" s="115"/>
      <c r="S7" s="115"/>
      <c r="T7" s="115"/>
      <c r="U7" s="115"/>
      <c r="V7" s="115"/>
      <c r="W7" s="115"/>
      <c r="X7" s="115"/>
    </row>
    <row r="8" spans="1:24" ht="76.5" x14ac:dyDescent="0.25">
      <c r="A8" s="115"/>
      <c r="B8" s="39" t="s">
        <v>1857</v>
      </c>
      <c r="C8" s="36" t="s">
        <v>1858</v>
      </c>
      <c r="D8" s="37">
        <v>0.8</v>
      </c>
      <c r="E8" s="115"/>
      <c r="F8" s="115"/>
      <c r="G8" s="115"/>
      <c r="H8" s="115"/>
      <c r="I8" s="115"/>
      <c r="J8" s="115"/>
      <c r="K8" s="115"/>
      <c r="L8" s="115"/>
      <c r="M8" s="115"/>
      <c r="N8" s="115"/>
      <c r="O8" s="115"/>
      <c r="P8" s="115"/>
      <c r="Q8" s="115"/>
      <c r="R8" s="115"/>
      <c r="S8" s="115"/>
      <c r="T8" s="115"/>
      <c r="U8" s="115"/>
      <c r="V8" s="115"/>
      <c r="W8" s="115"/>
      <c r="X8" s="115"/>
    </row>
    <row r="9" spans="1:24" ht="51" x14ac:dyDescent="0.25">
      <c r="A9" s="115"/>
      <c r="B9" s="40" t="s">
        <v>1859</v>
      </c>
      <c r="C9" s="36" t="s">
        <v>1860</v>
      </c>
      <c r="D9" s="37">
        <v>1</v>
      </c>
      <c r="E9" s="115"/>
      <c r="F9" s="115"/>
      <c r="G9" s="115"/>
      <c r="H9" s="115"/>
      <c r="I9" s="115"/>
      <c r="J9" s="115"/>
      <c r="K9" s="115"/>
      <c r="L9" s="115"/>
      <c r="M9" s="115"/>
      <c r="N9" s="115"/>
      <c r="O9" s="115"/>
      <c r="P9" s="115"/>
      <c r="Q9" s="115"/>
      <c r="R9" s="115"/>
      <c r="S9" s="115"/>
      <c r="T9" s="115"/>
      <c r="U9" s="115"/>
      <c r="V9" s="115"/>
      <c r="W9" s="115"/>
      <c r="X9" s="115"/>
    </row>
    <row r="10" spans="1:24" x14ac:dyDescent="0.25">
      <c r="A10" s="115"/>
      <c r="B10" s="115"/>
      <c r="C10" s="115"/>
      <c r="D10" s="115"/>
      <c r="E10" s="115"/>
      <c r="F10" s="115"/>
      <c r="G10" s="115"/>
      <c r="H10" s="115"/>
      <c r="I10" s="115"/>
      <c r="J10" s="115"/>
      <c r="K10" s="115"/>
      <c r="L10" s="115"/>
      <c r="M10" s="115"/>
      <c r="N10" s="115"/>
      <c r="O10" s="115"/>
      <c r="P10" s="115"/>
      <c r="Q10" s="115"/>
      <c r="R10" s="115"/>
      <c r="S10" s="115"/>
      <c r="T10" s="115"/>
      <c r="U10" s="115"/>
      <c r="V10" s="115"/>
      <c r="W10" s="115"/>
      <c r="X10" s="115"/>
    </row>
    <row r="11" spans="1:24" ht="16.5" x14ac:dyDescent="0.25">
      <c r="A11" s="115"/>
      <c r="B11" s="168"/>
      <c r="C11" s="115"/>
      <c r="D11" s="115"/>
      <c r="E11" s="115"/>
      <c r="F11" s="115"/>
      <c r="G11" s="115"/>
      <c r="H11" s="115"/>
      <c r="I11" s="115"/>
      <c r="J11" s="115"/>
      <c r="K11" s="115"/>
      <c r="L11" s="115"/>
      <c r="M11" s="115"/>
      <c r="N11" s="115"/>
      <c r="O11" s="115"/>
      <c r="P11" s="115"/>
      <c r="Q11" s="115"/>
      <c r="R11" s="115"/>
      <c r="S11" s="115"/>
      <c r="T11" s="115"/>
      <c r="U11" s="115"/>
      <c r="V11" s="115"/>
      <c r="W11" s="115"/>
      <c r="X11" s="115"/>
    </row>
    <row r="12" spans="1:24" x14ac:dyDescent="0.25">
      <c r="A12" s="115"/>
      <c r="B12" s="115"/>
      <c r="C12" s="115"/>
      <c r="D12" s="115"/>
      <c r="E12" s="115"/>
      <c r="F12" s="115"/>
      <c r="G12" s="115"/>
      <c r="H12" s="115"/>
      <c r="I12" s="115"/>
      <c r="J12" s="115"/>
      <c r="K12" s="115"/>
      <c r="L12" s="115"/>
      <c r="M12" s="115"/>
      <c r="N12" s="115"/>
      <c r="O12" s="115"/>
      <c r="P12" s="115"/>
      <c r="Q12" s="115"/>
      <c r="R12" s="115"/>
      <c r="S12" s="115"/>
      <c r="T12" s="115"/>
      <c r="U12" s="115"/>
      <c r="V12" s="115"/>
      <c r="W12" s="115"/>
      <c r="X12" s="115"/>
    </row>
    <row r="13" spans="1:24" x14ac:dyDescent="0.25">
      <c r="A13" s="115"/>
      <c r="B13" s="115"/>
      <c r="C13" s="115"/>
      <c r="D13" s="115"/>
      <c r="E13" s="115"/>
      <c r="F13" s="115"/>
      <c r="G13" s="115"/>
      <c r="H13" s="115"/>
      <c r="I13" s="115"/>
      <c r="J13" s="115"/>
      <c r="K13" s="115"/>
      <c r="L13" s="115"/>
      <c r="M13" s="115"/>
      <c r="N13" s="115"/>
      <c r="O13" s="115"/>
      <c r="P13" s="115"/>
      <c r="Q13" s="115"/>
      <c r="R13" s="115"/>
      <c r="S13" s="115"/>
      <c r="T13" s="115"/>
      <c r="U13" s="115"/>
      <c r="V13" s="115"/>
      <c r="W13" s="115"/>
      <c r="X13" s="115"/>
    </row>
    <row r="14" spans="1:24" x14ac:dyDescent="0.25">
      <c r="A14" s="115"/>
      <c r="B14" s="115"/>
      <c r="C14" s="115"/>
      <c r="D14" s="115"/>
      <c r="E14" s="115"/>
      <c r="F14" s="115"/>
      <c r="G14" s="115"/>
      <c r="H14" s="115"/>
      <c r="I14" s="115"/>
      <c r="J14" s="115"/>
      <c r="K14" s="115"/>
      <c r="L14" s="115"/>
      <c r="M14" s="115"/>
      <c r="N14" s="115"/>
      <c r="O14" s="115"/>
      <c r="P14" s="115"/>
      <c r="Q14" s="115"/>
      <c r="R14" s="115"/>
      <c r="S14" s="115"/>
      <c r="T14" s="115"/>
      <c r="U14" s="115"/>
      <c r="V14" s="115"/>
      <c r="W14" s="115"/>
      <c r="X14" s="115"/>
    </row>
    <row r="15" spans="1:24" x14ac:dyDescent="0.25">
      <c r="A15" s="115"/>
      <c r="B15" s="115"/>
      <c r="C15" s="115"/>
      <c r="D15" s="115"/>
      <c r="E15" s="115"/>
      <c r="F15" s="115"/>
      <c r="G15" s="115"/>
      <c r="H15" s="115"/>
      <c r="I15" s="115"/>
      <c r="J15" s="115"/>
      <c r="K15" s="115"/>
      <c r="L15" s="115"/>
      <c r="M15" s="115"/>
      <c r="N15" s="115"/>
      <c r="O15" s="115"/>
      <c r="P15" s="115"/>
      <c r="Q15" s="115"/>
      <c r="R15" s="115"/>
      <c r="S15" s="115"/>
      <c r="T15" s="115"/>
      <c r="U15" s="115"/>
      <c r="V15" s="115"/>
      <c r="W15" s="115"/>
      <c r="X15" s="115"/>
    </row>
    <row r="16" spans="1:24" x14ac:dyDescent="0.25">
      <c r="A16" s="115"/>
      <c r="B16" s="115"/>
      <c r="C16" s="115"/>
      <c r="D16" s="115"/>
      <c r="E16" s="115"/>
      <c r="F16" s="115"/>
      <c r="G16" s="115"/>
      <c r="H16" s="115"/>
      <c r="I16" s="115"/>
      <c r="J16" s="115"/>
      <c r="K16" s="115"/>
      <c r="L16" s="115"/>
      <c r="M16" s="115"/>
      <c r="N16" s="115"/>
      <c r="O16" s="115"/>
      <c r="P16" s="115"/>
      <c r="Q16" s="115"/>
      <c r="R16" s="115"/>
      <c r="S16" s="115"/>
      <c r="T16" s="115"/>
      <c r="U16" s="115"/>
      <c r="V16" s="115"/>
      <c r="W16" s="115"/>
      <c r="X16" s="115"/>
    </row>
    <row r="17" spans="1:24" x14ac:dyDescent="0.25">
      <c r="A17" s="115"/>
      <c r="B17" s="115"/>
      <c r="C17" s="115"/>
      <c r="D17" s="115"/>
      <c r="E17" s="115"/>
      <c r="F17" s="115"/>
      <c r="G17" s="115"/>
      <c r="H17" s="115"/>
      <c r="I17" s="115"/>
      <c r="J17" s="115"/>
      <c r="K17" s="115"/>
      <c r="L17" s="115"/>
      <c r="M17" s="115"/>
      <c r="N17" s="115"/>
      <c r="O17" s="115"/>
      <c r="P17" s="115"/>
      <c r="Q17" s="115"/>
      <c r="R17" s="115"/>
      <c r="S17" s="115"/>
      <c r="T17" s="115"/>
      <c r="U17" s="115"/>
      <c r="V17" s="115"/>
      <c r="W17" s="115"/>
      <c r="X17" s="115"/>
    </row>
    <row r="18" spans="1:24" x14ac:dyDescent="0.25">
      <c r="A18" s="115"/>
      <c r="B18" s="115"/>
      <c r="C18" s="115"/>
      <c r="D18" s="115"/>
      <c r="E18" s="115"/>
      <c r="F18" s="115"/>
      <c r="G18" s="115"/>
      <c r="H18" s="115"/>
      <c r="I18" s="115"/>
      <c r="J18" s="115"/>
      <c r="K18" s="115"/>
      <c r="L18" s="115"/>
      <c r="M18" s="115"/>
      <c r="N18" s="115"/>
      <c r="O18" s="115"/>
      <c r="P18" s="115"/>
      <c r="Q18" s="115"/>
      <c r="R18" s="115"/>
      <c r="S18" s="115"/>
      <c r="T18" s="115"/>
      <c r="U18" s="115"/>
      <c r="V18" s="115"/>
      <c r="W18" s="115"/>
      <c r="X18" s="115"/>
    </row>
    <row r="19" spans="1:24" x14ac:dyDescent="0.25">
      <c r="A19" s="115"/>
      <c r="B19" s="115"/>
      <c r="C19" s="115"/>
      <c r="D19" s="115"/>
      <c r="E19" s="115"/>
      <c r="F19" s="115"/>
      <c r="G19" s="115"/>
      <c r="H19" s="115"/>
      <c r="I19" s="115"/>
      <c r="J19" s="115"/>
      <c r="K19" s="115"/>
      <c r="L19" s="115"/>
      <c r="M19" s="115"/>
      <c r="N19" s="115"/>
      <c r="O19" s="115"/>
      <c r="P19" s="115"/>
      <c r="Q19" s="115"/>
      <c r="R19" s="115"/>
      <c r="S19" s="115"/>
      <c r="T19" s="115"/>
      <c r="U19" s="115"/>
      <c r="V19" s="115"/>
      <c r="W19" s="115"/>
      <c r="X19" s="115"/>
    </row>
    <row r="20" spans="1:24" x14ac:dyDescent="0.25">
      <c r="A20" s="115"/>
      <c r="B20" s="115"/>
      <c r="C20" s="115"/>
      <c r="D20" s="115"/>
      <c r="E20" s="115"/>
      <c r="F20" s="115"/>
      <c r="G20" s="115"/>
      <c r="H20" s="115"/>
      <c r="I20" s="115"/>
      <c r="J20" s="115"/>
      <c r="K20" s="115"/>
      <c r="L20" s="115"/>
      <c r="M20" s="115"/>
      <c r="N20" s="115"/>
      <c r="O20" s="115"/>
      <c r="P20" s="115"/>
      <c r="Q20" s="115"/>
      <c r="R20" s="115"/>
      <c r="S20" s="115"/>
      <c r="T20" s="115"/>
      <c r="U20" s="115"/>
      <c r="V20" s="115"/>
      <c r="W20" s="115"/>
      <c r="X20" s="115"/>
    </row>
    <row r="21" spans="1:24" x14ac:dyDescent="0.25">
      <c r="A21" s="115"/>
      <c r="B21" s="115"/>
      <c r="C21" s="115"/>
      <c r="D21" s="115"/>
      <c r="E21" s="115"/>
      <c r="F21" s="115"/>
      <c r="G21" s="115"/>
      <c r="H21" s="115"/>
      <c r="I21" s="115"/>
      <c r="J21" s="115"/>
      <c r="K21" s="115"/>
      <c r="L21" s="115"/>
      <c r="M21" s="115"/>
      <c r="N21" s="115"/>
      <c r="O21" s="115"/>
      <c r="P21" s="115"/>
      <c r="Q21" s="115"/>
      <c r="R21" s="115"/>
      <c r="S21" s="115"/>
      <c r="T21" s="115"/>
      <c r="U21" s="115"/>
      <c r="V21" s="115"/>
      <c r="W21" s="115"/>
      <c r="X21" s="115"/>
    </row>
    <row r="22" spans="1:24" ht="15.75" customHeight="1" x14ac:dyDescent="0.25">
      <c r="A22" s="115"/>
      <c r="B22" s="115"/>
      <c r="C22" s="115"/>
      <c r="D22" s="115"/>
      <c r="E22" s="115"/>
      <c r="F22" s="115"/>
      <c r="G22" s="115"/>
      <c r="H22" s="115"/>
      <c r="I22" s="115"/>
      <c r="J22" s="115"/>
      <c r="K22" s="115"/>
      <c r="L22" s="115"/>
      <c r="M22" s="115"/>
      <c r="N22" s="115"/>
      <c r="O22" s="115"/>
      <c r="P22" s="115"/>
      <c r="Q22" s="115"/>
      <c r="R22" s="115"/>
      <c r="S22" s="115"/>
      <c r="T22" s="115"/>
      <c r="U22" s="115"/>
      <c r="V22" s="115"/>
      <c r="W22" s="115"/>
      <c r="X22" s="115"/>
    </row>
    <row r="23" spans="1:24" ht="15.75" customHeight="1" x14ac:dyDescent="0.25">
      <c r="A23" s="115"/>
      <c r="B23" s="115"/>
      <c r="C23" s="115"/>
      <c r="D23" s="115"/>
      <c r="E23" s="115"/>
      <c r="F23" s="115"/>
      <c r="G23" s="115"/>
      <c r="H23" s="115"/>
      <c r="I23" s="115"/>
      <c r="J23" s="115"/>
      <c r="K23" s="115"/>
      <c r="L23" s="115"/>
      <c r="M23" s="115"/>
      <c r="N23" s="115"/>
      <c r="O23" s="115"/>
      <c r="P23" s="115"/>
      <c r="Q23" s="115"/>
      <c r="R23" s="115"/>
      <c r="S23" s="115"/>
      <c r="T23" s="115"/>
      <c r="U23" s="115"/>
      <c r="V23" s="115"/>
      <c r="W23" s="115"/>
      <c r="X23" s="115"/>
    </row>
    <row r="24" spans="1:24" ht="15.75" customHeight="1" x14ac:dyDescent="0.25">
      <c r="A24" s="115"/>
      <c r="B24" s="115"/>
      <c r="C24" s="115"/>
      <c r="D24" s="115"/>
      <c r="E24" s="115"/>
      <c r="F24" s="115"/>
      <c r="G24" s="115"/>
      <c r="H24" s="115"/>
      <c r="I24" s="115"/>
      <c r="J24" s="115"/>
      <c r="K24" s="115"/>
      <c r="L24" s="115"/>
      <c r="M24" s="115"/>
      <c r="N24" s="115"/>
      <c r="O24" s="115"/>
      <c r="P24" s="115"/>
      <c r="Q24" s="115"/>
      <c r="R24" s="115"/>
      <c r="S24" s="115"/>
      <c r="T24" s="115"/>
      <c r="U24" s="115"/>
      <c r="V24" s="115"/>
      <c r="W24" s="115"/>
      <c r="X24" s="115"/>
    </row>
    <row r="25" spans="1:24" ht="15.75" customHeight="1" x14ac:dyDescent="0.25">
      <c r="A25" s="115"/>
      <c r="B25" s="115"/>
      <c r="C25" s="115"/>
      <c r="D25" s="115"/>
      <c r="E25" s="115"/>
      <c r="F25" s="115"/>
      <c r="G25" s="115"/>
      <c r="H25" s="115"/>
      <c r="I25" s="115"/>
      <c r="J25" s="115"/>
      <c r="K25" s="115"/>
      <c r="L25" s="115"/>
      <c r="M25" s="115"/>
      <c r="N25" s="115"/>
      <c r="O25" s="115"/>
      <c r="P25" s="115"/>
      <c r="Q25" s="115"/>
      <c r="R25" s="115"/>
      <c r="S25" s="115"/>
      <c r="T25" s="115"/>
      <c r="U25" s="115"/>
      <c r="V25" s="115"/>
      <c r="W25" s="115"/>
      <c r="X25" s="115"/>
    </row>
    <row r="26" spans="1:24" ht="15.75" customHeight="1" x14ac:dyDescent="0.25">
      <c r="A26" s="115"/>
      <c r="B26" s="115"/>
      <c r="C26" s="115"/>
      <c r="D26" s="115"/>
      <c r="E26" s="115"/>
      <c r="F26" s="115"/>
      <c r="G26" s="115"/>
      <c r="H26" s="115"/>
      <c r="I26" s="115"/>
      <c r="J26" s="115"/>
      <c r="K26" s="115"/>
      <c r="L26" s="115"/>
      <c r="M26" s="115"/>
      <c r="N26" s="115"/>
      <c r="O26" s="115"/>
      <c r="P26" s="115"/>
      <c r="Q26" s="115"/>
      <c r="R26" s="115"/>
      <c r="S26" s="115"/>
      <c r="T26" s="115"/>
      <c r="U26" s="115"/>
      <c r="V26" s="115"/>
      <c r="W26" s="115"/>
      <c r="X26" s="115"/>
    </row>
    <row r="27" spans="1:24" ht="15.75" customHeight="1" x14ac:dyDescent="0.25">
      <c r="A27" s="115"/>
      <c r="B27" s="115"/>
      <c r="C27" s="115"/>
      <c r="D27" s="115"/>
      <c r="E27" s="115"/>
      <c r="F27" s="115"/>
      <c r="G27" s="115"/>
      <c r="H27" s="115"/>
      <c r="I27" s="115"/>
      <c r="J27" s="115"/>
      <c r="K27" s="115"/>
      <c r="L27" s="115"/>
      <c r="M27" s="115"/>
      <c r="N27" s="115"/>
      <c r="O27" s="115"/>
      <c r="P27" s="115"/>
      <c r="Q27" s="115"/>
      <c r="R27" s="115"/>
      <c r="S27" s="115"/>
      <c r="T27" s="115"/>
      <c r="U27" s="115"/>
      <c r="V27" s="115"/>
      <c r="W27" s="115"/>
      <c r="X27" s="115"/>
    </row>
    <row r="28" spans="1:24" ht="15.75" customHeight="1" x14ac:dyDescent="0.25">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row>
    <row r="29" spans="1:24" ht="15.75" customHeight="1" x14ac:dyDescent="0.25">
      <c r="A29" s="115"/>
      <c r="B29" s="115"/>
      <c r="C29" s="115"/>
      <c r="D29" s="115"/>
      <c r="E29" s="115"/>
      <c r="F29" s="115"/>
      <c r="G29" s="115"/>
      <c r="H29" s="115"/>
      <c r="I29" s="115"/>
      <c r="J29" s="115"/>
      <c r="K29" s="115"/>
      <c r="L29" s="115"/>
      <c r="M29" s="115"/>
      <c r="N29" s="115"/>
      <c r="O29" s="115"/>
      <c r="P29" s="115"/>
      <c r="Q29" s="115"/>
      <c r="R29" s="115"/>
      <c r="S29" s="115"/>
      <c r="T29" s="115"/>
      <c r="U29" s="115"/>
      <c r="V29" s="115"/>
      <c r="W29" s="115"/>
      <c r="X29" s="115"/>
    </row>
    <row r="30" spans="1:24" ht="15.75" customHeight="1" x14ac:dyDescent="0.25">
      <c r="A30" s="115"/>
      <c r="B30" s="115"/>
      <c r="C30" s="115"/>
      <c r="D30" s="115"/>
      <c r="E30" s="115"/>
      <c r="F30" s="115"/>
      <c r="G30" s="115"/>
      <c r="H30" s="115"/>
      <c r="I30" s="115"/>
      <c r="J30" s="115"/>
      <c r="K30" s="115"/>
      <c r="L30" s="115"/>
      <c r="M30" s="115"/>
      <c r="N30" s="115"/>
      <c r="O30" s="115"/>
      <c r="P30" s="115"/>
      <c r="Q30" s="115"/>
      <c r="R30" s="115"/>
      <c r="S30" s="115"/>
      <c r="T30" s="115"/>
      <c r="U30" s="115"/>
      <c r="V30" s="115"/>
      <c r="W30" s="115"/>
      <c r="X30" s="115"/>
    </row>
    <row r="31" spans="1:24" ht="15.75" customHeight="1" x14ac:dyDescent="0.25">
      <c r="A31" s="115"/>
      <c r="B31" s="115"/>
      <c r="C31" s="115"/>
      <c r="D31" s="115"/>
      <c r="E31" s="115"/>
      <c r="F31" s="115"/>
      <c r="G31" s="115"/>
      <c r="H31" s="115"/>
      <c r="I31" s="115"/>
      <c r="J31" s="115"/>
      <c r="K31" s="115"/>
      <c r="L31" s="115"/>
      <c r="M31" s="115"/>
      <c r="N31" s="115"/>
      <c r="O31" s="115"/>
      <c r="P31" s="115"/>
      <c r="Q31" s="115"/>
      <c r="R31" s="115"/>
      <c r="S31" s="115"/>
      <c r="T31" s="115"/>
      <c r="U31" s="115"/>
      <c r="V31" s="115"/>
      <c r="W31" s="115"/>
      <c r="X31" s="115"/>
    </row>
    <row r="32" spans="1:24" ht="15.75" customHeight="1" x14ac:dyDescent="0.25">
      <c r="A32" s="115"/>
      <c r="B32" s="115"/>
      <c r="C32" s="115"/>
      <c r="D32" s="115"/>
      <c r="E32" s="115"/>
      <c r="F32" s="115"/>
      <c r="G32" s="115"/>
      <c r="H32" s="115"/>
      <c r="I32" s="115"/>
      <c r="J32" s="115"/>
      <c r="K32" s="115"/>
      <c r="L32" s="115"/>
      <c r="M32" s="115"/>
      <c r="N32" s="115"/>
      <c r="O32" s="115"/>
      <c r="P32" s="115"/>
      <c r="Q32" s="115"/>
      <c r="R32" s="115"/>
      <c r="S32" s="115"/>
      <c r="T32" s="115"/>
      <c r="U32" s="115"/>
      <c r="V32" s="115"/>
      <c r="W32" s="115"/>
      <c r="X32" s="115"/>
    </row>
    <row r="33" spans="1:24" ht="15.75" customHeight="1" x14ac:dyDescent="0.25">
      <c r="A33" s="115"/>
      <c r="B33" s="115"/>
      <c r="C33" s="115"/>
      <c r="D33" s="115"/>
      <c r="E33" s="115"/>
      <c r="F33" s="115"/>
      <c r="G33" s="115"/>
      <c r="H33" s="115"/>
      <c r="I33" s="115"/>
      <c r="J33" s="115"/>
      <c r="K33" s="115"/>
      <c r="L33" s="115"/>
      <c r="M33" s="115"/>
      <c r="N33" s="115"/>
      <c r="O33" s="115"/>
      <c r="P33" s="115"/>
      <c r="Q33" s="115"/>
      <c r="R33" s="115"/>
      <c r="S33" s="115"/>
      <c r="T33" s="115"/>
      <c r="U33" s="115"/>
      <c r="V33" s="115"/>
      <c r="W33" s="115"/>
      <c r="X33" s="115"/>
    </row>
    <row r="34" spans="1:24" ht="15.75" customHeight="1" x14ac:dyDescent="0.25">
      <c r="A34" s="115"/>
      <c r="E34" s="115"/>
      <c r="F34" s="115"/>
      <c r="G34" s="115"/>
      <c r="H34" s="115"/>
      <c r="I34" s="115"/>
      <c r="J34" s="115"/>
      <c r="K34" s="115"/>
      <c r="L34" s="115"/>
      <c r="M34" s="115"/>
      <c r="N34" s="115"/>
      <c r="O34" s="115"/>
      <c r="P34" s="115"/>
      <c r="Q34" s="115"/>
      <c r="R34" s="115"/>
      <c r="S34" s="115"/>
      <c r="T34" s="115"/>
      <c r="U34" s="115"/>
      <c r="V34" s="115"/>
      <c r="W34" s="115"/>
      <c r="X34" s="115"/>
    </row>
    <row r="35" spans="1:24" ht="15.75" customHeight="1" x14ac:dyDescent="0.25">
      <c r="A35" s="115"/>
      <c r="E35" s="115"/>
      <c r="F35" s="115"/>
      <c r="G35" s="115"/>
      <c r="H35" s="115"/>
      <c r="I35" s="115"/>
      <c r="J35" s="115"/>
      <c r="K35" s="115"/>
      <c r="L35" s="115"/>
      <c r="M35" s="115"/>
      <c r="N35" s="115"/>
      <c r="O35" s="115"/>
      <c r="P35" s="115"/>
      <c r="Q35" s="115"/>
      <c r="R35" s="115"/>
      <c r="S35" s="115"/>
      <c r="T35" s="115"/>
      <c r="U35" s="115"/>
      <c r="V35" s="115"/>
      <c r="W35" s="115"/>
      <c r="X35" s="115"/>
    </row>
    <row r="36" spans="1:24" ht="15.75" customHeight="1" x14ac:dyDescent="0.25">
      <c r="A36" s="115"/>
    </row>
    <row r="37" spans="1:24" ht="15.75" customHeight="1" x14ac:dyDescent="0.25">
      <c r="A37" s="115"/>
    </row>
    <row r="38" spans="1:24" ht="15.75" customHeight="1" x14ac:dyDescent="0.25">
      <c r="A38" s="115"/>
    </row>
    <row r="39" spans="1:24" ht="15.75" customHeight="1" x14ac:dyDescent="0.25">
      <c r="A39" s="115"/>
    </row>
    <row r="40" spans="1:24" ht="15.75" customHeight="1" x14ac:dyDescent="0.25">
      <c r="A40" s="115"/>
    </row>
    <row r="41" spans="1:24" ht="15.75" customHeight="1" x14ac:dyDescent="0.25">
      <c r="A41" s="115"/>
    </row>
    <row r="42" spans="1:24" ht="15.75" customHeight="1" x14ac:dyDescent="0.25">
      <c r="A42" s="115"/>
    </row>
    <row r="43" spans="1:24" ht="15.75" customHeight="1" x14ac:dyDescent="0.25">
      <c r="A43" s="115"/>
    </row>
    <row r="44" spans="1:24" ht="15.75" customHeight="1" x14ac:dyDescent="0.25">
      <c r="A44" s="115"/>
    </row>
    <row r="45" spans="1:24" ht="15.75" customHeight="1" x14ac:dyDescent="0.25">
      <c r="A45" s="115"/>
    </row>
    <row r="46" spans="1:24" ht="15.75" customHeight="1" x14ac:dyDescent="0.25">
      <c r="A46" s="115"/>
    </row>
    <row r="47" spans="1:24" ht="15.75" customHeight="1" x14ac:dyDescent="0.25">
      <c r="A47" s="115"/>
    </row>
    <row r="48" spans="1:24" ht="15.75" customHeight="1" x14ac:dyDescent="0.25">
      <c r="A48" s="115"/>
    </row>
    <row r="49" spans="1:1" ht="15.75" customHeight="1" x14ac:dyDescent="0.25">
      <c r="A49" s="115"/>
    </row>
    <row r="50" spans="1:1" ht="15.75" customHeight="1" x14ac:dyDescent="0.25">
      <c r="A50" s="115"/>
    </row>
    <row r="51" spans="1:1" ht="15.75" customHeight="1" x14ac:dyDescent="0.25">
      <c r="A51" s="115"/>
    </row>
    <row r="52" spans="1:1" ht="15.75" customHeight="1" x14ac:dyDescent="0.25">
      <c r="A52" s="115"/>
    </row>
    <row r="53" spans="1:1" ht="15.75" customHeight="1" x14ac:dyDescent="0.25">
      <c r="A53" s="115"/>
    </row>
    <row r="54" spans="1:1" ht="15.75" customHeight="1" x14ac:dyDescent="0.25">
      <c r="A54" s="115"/>
    </row>
    <row r="55" spans="1:1" ht="15.75" customHeight="1" x14ac:dyDescent="0.25">
      <c r="A55" s="115"/>
    </row>
    <row r="56" spans="1:1" ht="15.75" customHeight="1" x14ac:dyDescent="0.25">
      <c r="A56" s="115"/>
    </row>
    <row r="57" spans="1:1" ht="15.75" customHeight="1" x14ac:dyDescent="0.2"/>
    <row r="58" spans="1:1" ht="15.75" customHeight="1" x14ac:dyDescent="0.2"/>
    <row r="59" spans="1:1" ht="15.75" customHeight="1" x14ac:dyDescent="0.2"/>
    <row r="60" spans="1:1" ht="15.75" customHeight="1" x14ac:dyDescent="0.2"/>
    <row r="61" spans="1:1" ht="15.75" customHeight="1" x14ac:dyDescent="0.2"/>
    <row r="62" spans="1:1" ht="15.75" customHeight="1" x14ac:dyDescent="0.2"/>
    <row r="63" spans="1:1" ht="15.75" customHeight="1" x14ac:dyDescent="0.2"/>
    <row r="64" spans="1:1"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1">
    <mergeCell ref="B2:D2"/>
  </mergeCells>
  <pageMargins left="0.70866141732283472" right="0.70866141732283472" top="0.74803149606299213" bottom="0.74803149606299213" header="0" footer="0"/>
  <pageSetup scale="70" orientation="portrait" r:id="rId1"/>
  <headerFooter>
    <oddHeader>&amp;L&amp;G&amp;C
MATRIZ DE RIESGOS</oddHeader>
    <oddFooter>&amp;RCódigo:E-02-F-014
Versión: 5
Fecha: Ver Isolución</oddFooter>
  </headerFooter>
  <colBreaks count="1" manualBreakCount="1">
    <brk id="4"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1001"/>
  <sheetViews>
    <sheetView zoomScale="55" zoomScaleNormal="55" workbookViewId="0">
      <selection activeCell="C23" sqref="C23"/>
    </sheetView>
  </sheetViews>
  <sheetFormatPr baseColWidth="10" defaultColWidth="12.625" defaultRowHeight="15" customHeight="1" x14ac:dyDescent="0.2"/>
  <cols>
    <col min="1" max="1" width="9.375" customWidth="1"/>
    <col min="2" max="2" width="35.375" customWidth="1"/>
    <col min="3" max="3" width="65.5" customWidth="1"/>
    <col min="4" max="4" width="118.125" customWidth="1"/>
    <col min="5" max="5" width="126.625" customWidth="1"/>
    <col min="6" max="26" width="9.375" customWidth="1"/>
  </cols>
  <sheetData>
    <row r="1" spans="1:21" x14ac:dyDescent="0.25">
      <c r="A1" s="169"/>
      <c r="B1" s="169"/>
      <c r="C1" s="169"/>
      <c r="D1" s="169"/>
      <c r="E1" s="115"/>
      <c r="F1" s="115"/>
      <c r="G1" s="115"/>
      <c r="H1" s="115"/>
      <c r="I1" s="115"/>
      <c r="J1" s="115"/>
      <c r="K1" s="115"/>
      <c r="L1" s="115"/>
      <c r="M1" s="115"/>
      <c r="N1" s="115"/>
      <c r="O1" s="115"/>
      <c r="P1" s="115"/>
      <c r="Q1" s="115"/>
      <c r="R1" s="115"/>
      <c r="S1" s="115"/>
      <c r="T1" s="115"/>
      <c r="U1" s="115"/>
    </row>
    <row r="2" spans="1:21" ht="33.75" x14ac:dyDescent="0.25">
      <c r="A2" s="115"/>
      <c r="B2" s="915" t="s">
        <v>1861</v>
      </c>
      <c r="C2" s="670"/>
      <c r="D2" s="670"/>
      <c r="E2" s="115"/>
      <c r="F2" s="115"/>
      <c r="G2" s="115"/>
      <c r="H2" s="115"/>
      <c r="I2" s="115"/>
      <c r="J2" s="115"/>
      <c r="K2" s="115"/>
      <c r="L2" s="115"/>
      <c r="M2" s="115"/>
      <c r="N2" s="115"/>
      <c r="O2" s="115"/>
      <c r="P2" s="115"/>
      <c r="Q2" s="115"/>
      <c r="R2" s="115"/>
      <c r="S2" s="115"/>
      <c r="T2" s="115"/>
      <c r="U2" s="115"/>
    </row>
    <row r="3" spans="1:21" x14ac:dyDescent="0.25">
      <c r="A3" s="115"/>
      <c r="B3" s="115"/>
      <c r="C3" s="115"/>
      <c r="D3" s="115"/>
      <c r="E3" s="115"/>
      <c r="F3" s="115"/>
      <c r="G3" s="115"/>
      <c r="H3" s="115"/>
      <c r="I3" s="115"/>
      <c r="J3" s="115"/>
      <c r="K3" s="115"/>
      <c r="L3" s="115"/>
      <c r="M3" s="115"/>
      <c r="N3" s="115"/>
      <c r="O3" s="115"/>
      <c r="P3" s="115"/>
      <c r="Q3" s="115"/>
      <c r="R3" s="115"/>
      <c r="S3" s="115"/>
      <c r="T3" s="115"/>
      <c r="U3" s="115"/>
    </row>
    <row r="4" spans="1:21" ht="60" x14ac:dyDescent="0.25">
      <c r="A4" s="115"/>
      <c r="B4" s="170"/>
      <c r="C4" s="171" t="s">
        <v>1862</v>
      </c>
      <c r="D4" s="171" t="s">
        <v>1863</v>
      </c>
      <c r="E4" s="115"/>
      <c r="F4" s="115"/>
      <c r="G4" s="115"/>
      <c r="H4" s="115"/>
      <c r="I4" s="115"/>
      <c r="J4" s="115"/>
      <c r="K4" s="115"/>
      <c r="L4" s="115"/>
      <c r="M4" s="115"/>
      <c r="N4" s="115"/>
      <c r="O4" s="115"/>
      <c r="P4" s="115"/>
      <c r="Q4" s="115"/>
      <c r="R4" s="115"/>
      <c r="S4" s="115"/>
      <c r="T4" s="115"/>
      <c r="U4" s="115"/>
    </row>
    <row r="5" spans="1:21" ht="33.75" x14ac:dyDescent="0.25">
      <c r="A5" s="169" t="s">
        <v>1308</v>
      </c>
      <c r="B5" s="172" t="s">
        <v>1864</v>
      </c>
      <c r="C5" s="41" t="s">
        <v>1865</v>
      </c>
      <c r="D5" s="42" t="s">
        <v>1866</v>
      </c>
      <c r="E5" s="115"/>
      <c r="F5" s="115"/>
      <c r="G5" s="115"/>
      <c r="H5" s="115"/>
      <c r="I5" s="115"/>
      <c r="J5" s="115"/>
      <c r="K5" s="115"/>
      <c r="L5" s="115"/>
      <c r="M5" s="115"/>
      <c r="N5" s="115"/>
      <c r="O5" s="115"/>
      <c r="P5" s="115"/>
      <c r="Q5" s="115"/>
      <c r="R5" s="115"/>
      <c r="S5" s="115"/>
      <c r="T5" s="115"/>
      <c r="U5" s="115"/>
    </row>
    <row r="6" spans="1:21" ht="101.25" x14ac:dyDescent="0.25">
      <c r="A6" s="169" t="s">
        <v>185</v>
      </c>
      <c r="B6" s="43" t="s">
        <v>1867</v>
      </c>
      <c r="C6" s="44" t="s">
        <v>1868</v>
      </c>
      <c r="D6" s="45" t="s">
        <v>1869</v>
      </c>
      <c r="E6" s="115"/>
      <c r="F6" s="115"/>
      <c r="G6" s="115"/>
      <c r="H6" s="115"/>
      <c r="I6" s="115"/>
      <c r="J6" s="115"/>
      <c r="K6" s="115"/>
      <c r="L6" s="115"/>
      <c r="M6" s="115"/>
      <c r="N6" s="115"/>
      <c r="O6" s="115"/>
      <c r="P6" s="115"/>
      <c r="Q6" s="115"/>
      <c r="R6" s="115"/>
      <c r="S6" s="115"/>
      <c r="T6" s="115"/>
      <c r="U6" s="115"/>
    </row>
    <row r="7" spans="1:21" ht="67.5" x14ac:dyDescent="0.25">
      <c r="A7" s="169" t="s">
        <v>8</v>
      </c>
      <c r="B7" s="46" t="s">
        <v>1870</v>
      </c>
      <c r="C7" s="44" t="s">
        <v>1871</v>
      </c>
      <c r="D7" s="45" t="s">
        <v>184</v>
      </c>
      <c r="E7" s="115"/>
      <c r="F7" s="115"/>
      <c r="G7" s="115"/>
      <c r="H7" s="115"/>
      <c r="I7" s="115"/>
      <c r="J7" s="115"/>
      <c r="K7" s="115"/>
      <c r="L7" s="115"/>
      <c r="M7" s="115"/>
      <c r="N7" s="115"/>
      <c r="O7" s="115"/>
      <c r="P7" s="115"/>
      <c r="Q7" s="115"/>
      <c r="R7" s="115"/>
      <c r="S7" s="115"/>
      <c r="T7" s="115"/>
      <c r="U7" s="115"/>
    </row>
    <row r="8" spans="1:21" ht="101.25" x14ac:dyDescent="0.25">
      <c r="A8" s="169" t="s">
        <v>281</v>
      </c>
      <c r="B8" s="47" t="s">
        <v>1872</v>
      </c>
      <c r="C8" s="44" t="s">
        <v>1873</v>
      </c>
      <c r="D8" s="45" t="s">
        <v>1874</v>
      </c>
      <c r="E8" s="115"/>
      <c r="F8" s="115"/>
      <c r="G8" s="115"/>
      <c r="H8" s="115"/>
      <c r="I8" s="115"/>
      <c r="J8" s="115"/>
      <c r="K8" s="115"/>
      <c r="L8" s="115"/>
      <c r="M8" s="115"/>
      <c r="N8" s="115"/>
      <c r="O8" s="115"/>
      <c r="P8" s="115"/>
      <c r="Q8" s="115"/>
      <c r="R8" s="115"/>
      <c r="S8" s="115"/>
      <c r="T8" s="115"/>
      <c r="U8" s="115"/>
    </row>
    <row r="9" spans="1:21" ht="67.5" x14ac:dyDescent="0.25">
      <c r="A9" s="169" t="s">
        <v>342</v>
      </c>
      <c r="B9" s="48" t="s">
        <v>1875</v>
      </c>
      <c r="C9" s="44" t="s">
        <v>1876</v>
      </c>
      <c r="D9" s="45" t="s">
        <v>501</v>
      </c>
      <c r="E9" s="115"/>
      <c r="F9" s="115"/>
      <c r="G9" s="115"/>
      <c r="H9" s="115"/>
      <c r="I9" s="115"/>
      <c r="J9" s="115"/>
      <c r="K9" s="115"/>
      <c r="L9" s="115"/>
      <c r="M9" s="115"/>
      <c r="N9" s="115"/>
      <c r="O9" s="115"/>
      <c r="P9" s="115"/>
      <c r="Q9" s="115"/>
      <c r="R9" s="115"/>
      <c r="S9" s="115"/>
      <c r="T9" s="115"/>
      <c r="U9" s="115"/>
    </row>
    <row r="10" spans="1:21" ht="20.25" x14ac:dyDescent="0.25">
      <c r="A10" s="398"/>
      <c r="B10" s="398"/>
      <c r="C10" s="399"/>
      <c r="D10" s="399"/>
      <c r="E10" s="115"/>
      <c r="F10" s="115"/>
      <c r="G10" s="115"/>
      <c r="H10" s="115"/>
      <c r="I10" s="115"/>
      <c r="J10" s="115"/>
      <c r="K10" s="115"/>
      <c r="L10" s="115"/>
      <c r="M10" s="115"/>
      <c r="N10" s="115"/>
      <c r="O10" s="115"/>
      <c r="P10" s="115"/>
      <c r="Q10" s="115"/>
      <c r="R10" s="115"/>
      <c r="S10" s="115"/>
      <c r="T10" s="115"/>
      <c r="U10" s="115"/>
    </row>
    <row r="11" spans="1:21" ht="16.5" x14ac:dyDescent="0.25">
      <c r="A11" s="398"/>
      <c r="B11" s="400"/>
      <c r="C11" s="400"/>
      <c r="D11" s="400"/>
      <c r="E11" s="115"/>
      <c r="F11" s="115"/>
      <c r="G11" s="115"/>
      <c r="H11" s="115"/>
      <c r="I11" s="115"/>
      <c r="J11" s="115"/>
      <c r="K11" s="115"/>
      <c r="L11" s="115"/>
      <c r="M11" s="115"/>
      <c r="N11" s="115"/>
      <c r="O11" s="115"/>
      <c r="P11" s="115"/>
      <c r="Q11" s="115"/>
      <c r="R11" s="115"/>
      <c r="S11" s="115"/>
      <c r="T11" s="115"/>
      <c r="U11" s="115"/>
    </row>
    <row r="12" spans="1:21" s="401" customFormat="1" x14ac:dyDescent="0.25">
      <c r="A12" s="169"/>
      <c r="B12" s="169" t="s">
        <v>1877</v>
      </c>
      <c r="C12" s="169" t="s">
        <v>677</v>
      </c>
      <c r="D12" s="169" t="s">
        <v>332</v>
      </c>
      <c r="E12" s="169"/>
      <c r="F12" s="169"/>
      <c r="G12" s="169"/>
      <c r="H12" s="169"/>
      <c r="I12" s="169"/>
      <c r="J12" s="169"/>
      <c r="K12" s="169"/>
      <c r="L12" s="169"/>
      <c r="M12" s="169"/>
      <c r="N12" s="169"/>
      <c r="O12" s="169"/>
      <c r="P12" s="169"/>
      <c r="Q12" s="169"/>
      <c r="R12" s="169"/>
      <c r="S12" s="169"/>
      <c r="T12" s="169"/>
      <c r="U12" s="169"/>
    </row>
    <row r="13" spans="1:21" s="401" customFormat="1" x14ac:dyDescent="0.25">
      <c r="A13" s="169"/>
      <c r="B13" s="169" t="s">
        <v>1878</v>
      </c>
      <c r="C13" s="169" t="s">
        <v>597</v>
      </c>
      <c r="D13" s="169" t="s">
        <v>1843</v>
      </c>
      <c r="E13" s="169"/>
      <c r="F13" s="169"/>
      <c r="G13" s="169"/>
      <c r="H13" s="169"/>
      <c r="I13" s="169"/>
      <c r="J13" s="169"/>
      <c r="K13" s="169"/>
      <c r="L13" s="169"/>
      <c r="M13" s="169"/>
      <c r="N13" s="169"/>
      <c r="O13" s="169"/>
      <c r="P13" s="169"/>
      <c r="Q13" s="169"/>
      <c r="R13" s="169"/>
      <c r="S13" s="169"/>
      <c r="T13" s="169"/>
      <c r="U13" s="169"/>
    </row>
    <row r="14" spans="1:21" s="401" customFormat="1" x14ac:dyDescent="0.25">
      <c r="A14" s="169"/>
      <c r="B14" s="169"/>
      <c r="C14" s="169" t="s">
        <v>610</v>
      </c>
      <c r="D14" s="169" t="s">
        <v>214</v>
      </c>
      <c r="E14" s="169"/>
      <c r="F14" s="169"/>
      <c r="G14" s="169"/>
      <c r="H14" s="169"/>
      <c r="I14" s="169"/>
      <c r="J14" s="169"/>
      <c r="K14" s="169"/>
      <c r="L14" s="169"/>
      <c r="M14" s="169"/>
      <c r="N14" s="169"/>
      <c r="O14" s="169"/>
      <c r="P14" s="169"/>
      <c r="Q14" s="169"/>
      <c r="R14" s="169"/>
      <c r="S14" s="169"/>
      <c r="T14" s="169"/>
      <c r="U14" s="169"/>
    </row>
    <row r="15" spans="1:21" s="401" customFormat="1" x14ac:dyDescent="0.25">
      <c r="A15" s="169"/>
      <c r="B15" s="169"/>
      <c r="C15" s="169" t="s">
        <v>769</v>
      </c>
      <c r="D15" s="169" t="s">
        <v>239</v>
      </c>
      <c r="E15" s="169"/>
      <c r="F15" s="169"/>
      <c r="G15" s="169"/>
      <c r="H15" s="169"/>
      <c r="I15" s="169"/>
      <c r="J15" s="169"/>
      <c r="K15" s="169"/>
      <c r="L15" s="169"/>
      <c r="M15" s="169"/>
      <c r="N15" s="169"/>
      <c r="O15" s="169"/>
      <c r="P15" s="169"/>
      <c r="Q15" s="169"/>
      <c r="R15" s="169"/>
      <c r="S15" s="169"/>
      <c r="T15" s="169"/>
      <c r="U15" s="169"/>
    </row>
    <row r="16" spans="1:21" s="401" customFormat="1" x14ac:dyDescent="0.25">
      <c r="A16" s="169"/>
      <c r="B16" s="169"/>
      <c r="C16" s="169" t="s">
        <v>831</v>
      </c>
      <c r="D16" s="169" t="s">
        <v>339</v>
      </c>
      <c r="E16" s="169"/>
      <c r="F16" s="169"/>
      <c r="G16" s="169"/>
      <c r="H16" s="169"/>
      <c r="I16" s="169"/>
      <c r="J16" s="169"/>
      <c r="K16" s="169"/>
      <c r="L16" s="169"/>
      <c r="M16" s="169"/>
      <c r="N16" s="169"/>
      <c r="O16" s="169"/>
      <c r="P16" s="169"/>
      <c r="Q16" s="169"/>
      <c r="R16" s="169"/>
      <c r="S16" s="169"/>
      <c r="T16" s="169"/>
      <c r="U16" s="169"/>
    </row>
    <row r="17" spans="1:15" s="401" customFormat="1" x14ac:dyDescent="0.25">
      <c r="A17" s="169"/>
      <c r="B17" s="169"/>
      <c r="C17" s="169"/>
      <c r="D17" s="169"/>
      <c r="E17" s="169"/>
      <c r="F17" s="169"/>
      <c r="G17" s="169"/>
      <c r="H17" s="169"/>
      <c r="I17" s="169"/>
      <c r="J17" s="169"/>
      <c r="K17" s="169"/>
      <c r="L17" s="169"/>
      <c r="M17" s="169"/>
      <c r="N17" s="169"/>
      <c r="O17" s="169"/>
    </row>
    <row r="18" spans="1:15" x14ac:dyDescent="0.25">
      <c r="A18" s="398"/>
      <c r="B18" s="398"/>
      <c r="C18" s="398"/>
      <c r="D18" s="398"/>
      <c r="E18" s="115"/>
      <c r="F18" s="115"/>
      <c r="G18" s="115"/>
      <c r="H18" s="115"/>
      <c r="I18" s="115"/>
      <c r="J18" s="115"/>
      <c r="K18" s="115"/>
      <c r="L18" s="115"/>
      <c r="M18" s="115"/>
      <c r="N18" s="115"/>
      <c r="O18" s="115"/>
    </row>
    <row r="19" spans="1:15" x14ac:dyDescent="0.25">
      <c r="A19" s="398"/>
      <c r="B19" s="398"/>
      <c r="C19" s="398"/>
      <c r="D19" s="398"/>
      <c r="E19" s="115"/>
      <c r="F19" s="115"/>
      <c r="G19" s="115"/>
      <c r="H19" s="115"/>
      <c r="I19" s="115"/>
      <c r="J19" s="115"/>
      <c r="K19" s="115"/>
      <c r="L19" s="115"/>
      <c r="M19" s="115"/>
      <c r="N19" s="115"/>
      <c r="O19" s="115"/>
    </row>
    <row r="20" spans="1:15" x14ac:dyDescent="0.25">
      <c r="A20" s="398"/>
      <c r="B20" s="398"/>
      <c r="C20" s="398"/>
      <c r="D20" s="398"/>
      <c r="E20" s="115"/>
      <c r="F20" s="115"/>
      <c r="G20" s="115"/>
      <c r="H20" s="115"/>
      <c r="I20" s="115"/>
      <c r="J20" s="115"/>
      <c r="K20" s="115"/>
      <c r="L20" s="115"/>
      <c r="M20" s="115"/>
      <c r="N20" s="115"/>
      <c r="O20" s="115"/>
    </row>
    <row r="21" spans="1:15" x14ac:dyDescent="0.25">
      <c r="A21" s="398"/>
      <c r="B21" s="398"/>
      <c r="C21" s="398"/>
      <c r="D21" s="398"/>
      <c r="E21" s="115"/>
      <c r="F21" s="115"/>
      <c r="G21" s="115"/>
      <c r="H21" s="115"/>
      <c r="I21" s="115"/>
      <c r="J21" s="115"/>
      <c r="K21" s="115"/>
      <c r="L21" s="115"/>
      <c r="M21" s="115"/>
      <c r="N21" s="115"/>
      <c r="O21" s="115"/>
    </row>
    <row r="22" spans="1:15" ht="15.75" customHeight="1" x14ac:dyDescent="0.25">
      <c r="A22" s="398"/>
      <c r="B22" s="398"/>
      <c r="C22" s="398"/>
      <c r="D22" s="398"/>
      <c r="E22" s="115"/>
      <c r="F22" s="115"/>
      <c r="G22" s="115"/>
      <c r="H22" s="115"/>
      <c r="I22" s="115"/>
      <c r="J22" s="115"/>
      <c r="K22" s="115"/>
      <c r="L22" s="115"/>
      <c r="M22" s="115"/>
      <c r="N22" s="115"/>
      <c r="O22" s="115"/>
    </row>
    <row r="23" spans="1:15" ht="15.75" customHeight="1" x14ac:dyDescent="0.25">
      <c r="A23" s="398"/>
      <c r="B23" s="398"/>
      <c r="C23" s="399"/>
      <c r="D23" s="399"/>
      <c r="E23" s="115"/>
      <c r="F23" s="115"/>
      <c r="G23" s="115"/>
      <c r="H23" s="115"/>
      <c r="I23" s="115"/>
      <c r="J23" s="115"/>
      <c r="K23" s="115"/>
      <c r="L23" s="115"/>
      <c r="M23" s="115"/>
      <c r="N23" s="115"/>
      <c r="O23" s="115"/>
    </row>
    <row r="24" spans="1:15" ht="15.75" customHeight="1" x14ac:dyDescent="0.25">
      <c r="A24" s="398"/>
      <c r="B24" s="398"/>
      <c r="C24" s="399"/>
      <c r="D24" s="399"/>
      <c r="E24" s="115"/>
      <c r="F24" s="115"/>
      <c r="G24" s="115"/>
      <c r="H24" s="115"/>
      <c r="I24" s="115"/>
      <c r="J24" s="115"/>
      <c r="K24" s="115"/>
      <c r="L24" s="115"/>
      <c r="M24" s="115"/>
      <c r="N24" s="115"/>
      <c r="O24" s="115"/>
    </row>
    <row r="25" spans="1:15" ht="15.75" customHeight="1" x14ac:dyDescent="0.25">
      <c r="A25" s="398"/>
      <c r="B25" s="398"/>
      <c r="C25" s="399"/>
      <c r="D25" s="399"/>
      <c r="E25" s="115"/>
      <c r="F25" s="115"/>
      <c r="G25" s="115"/>
      <c r="H25" s="115"/>
      <c r="I25" s="115"/>
      <c r="J25" s="115"/>
      <c r="K25" s="115"/>
      <c r="L25" s="115"/>
      <c r="M25" s="115"/>
      <c r="N25" s="115"/>
      <c r="O25" s="115"/>
    </row>
    <row r="26" spans="1:15" ht="15.75" customHeight="1" x14ac:dyDescent="0.25">
      <c r="A26" s="398"/>
      <c r="B26" s="398"/>
      <c r="C26" s="399"/>
      <c r="D26" s="399"/>
      <c r="E26" s="115"/>
      <c r="F26" s="115"/>
      <c r="G26" s="115"/>
      <c r="H26" s="115"/>
      <c r="I26" s="115"/>
      <c r="J26" s="115"/>
      <c r="K26" s="115"/>
      <c r="L26" s="115"/>
      <c r="M26" s="115"/>
      <c r="N26" s="115"/>
      <c r="O26" s="115"/>
    </row>
    <row r="27" spans="1:15" ht="15.75" customHeight="1" x14ac:dyDescent="0.25">
      <c r="A27" s="398"/>
      <c r="B27" s="398"/>
      <c r="C27" s="399"/>
      <c r="D27" s="399"/>
      <c r="E27" s="115"/>
      <c r="F27" s="115"/>
      <c r="G27" s="115"/>
      <c r="H27" s="115"/>
      <c r="I27" s="115"/>
      <c r="J27" s="115"/>
      <c r="K27" s="115"/>
      <c r="L27" s="115"/>
      <c r="M27" s="115"/>
      <c r="N27" s="115"/>
      <c r="O27" s="115"/>
    </row>
    <row r="28" spans="1:15" ht="15.75" customHeight="1" x14ac:dyDescent="0.25">
      <c r="A28" s="398"/>
      <c r="B28" s="398"/>
      <c r="C28" s="399"/>
      <c r="D28" s="399"/>
      <c r="E28" s="115"/>
      <c r="F28" s="115"/>
      <c r="G28" s="115"/>
      <c r="H28" s="115"/>
      <c r="I28" s="115"/>
      <c r="J28" s="115"/>
      <c r="K28" s="115"/>
      <c r="L28" s="115"/>
      <c r="M28" s="115"/>
      <c r="N28" s="115"/>
      <c r="O28" s="115"/>
    </row>
    <row r="29" spans="1:15" ht="15.75" customHeight="1" x14ac:dyDescent="0.25">
      <c r="A29" s="398"/>
      <c r="B29" s="398"/>
      <c r="C29" s="399"/>
      <c r="D29" s="399"/>
      <c r="E29" s="115"/>
      <c r="F29" s="115"/>
      <c r="G29" s="115"/>
      <c r="H29" s="115"/>
      <c r="I29" s="115"/>
      <c r="J29" s="115"/>
      <c r="K29" s="115"/>
      <c r="L29" s="115"/>
      <c r="M29" s="115"/>
      <c r="N29" s="115"/>
      <c r="O29" s="115"/>
    </row>
    <row r="30" spans="1:15" ht="15.75" customHeight="1" x14ac:dyDescent="0.25">
      <c r="A30" s="398"/>
      <c r="B30" s="398"/>
      <c r="C30" s="399"/>
      <c r="D30" s="399"/>
      <c r="E30" s="115"/>
      <c r="F30" s="115"/>
      <c r="G30" s="115"/>
      <c r="H30" s="115"/>
      <c r="I30" s="115"/>
      <c r="J30" s="115"/>
      <c r="K30" s="115"/>
      <c r="L30" s="115"/>
      <c r="M30" s="115"/>
      <c r="N30" s="115"/>
      <c r="O30" s="115"/>
    </row>
    <row r="31" spans="1:15" ht="15.75" customHeight="1" x14ac:dyDescent="0.25">
      <c r="A31" s="398"/>
      <c r="B31" s="398"/>
      <c r="C31" s="399"/>
      <c r="D31" s="399"/>
      <c r="E31" s="115"/>
      <c r="F31" s="115"/>
      <c r="G31" s="115"/>
      <c r="H31" s="115"/>
      <c r="I31" s="115"/>
      <c r="J31" s="115"/>
      <c r="K31" s="115"/>
      <c r="L31" s="115"/>
      <c r="M31" s="115"/>
      <c r="N31" s="115"/>
      <c r="O31" s="115"/>
    </row>
    <row r="32" spans="1:15" ht="15.75" customHeight="1" x14ac:dyDescent="0.25">
      <c r="A32" s="398"/>
      <c r="B32" s="398"/>
      <c r="C32" s="399"/>
      <c r="D32" s="399"/>
      <c r="E32" s="115"/>
      <c r="F32" s="115"/>
      <c r="G32" s="115"/>
      <c r="H32" s="115"/>
      <c r="I32" s="115"/>
      <c r="J32" s="115"/>
      <c r="K32" s="115"/>
      <c r="L32" s="115"/>
      <c r="M32" s="115"/>
      <c r="N32" s="115"/>
      <c r="O32" s="115"/>
    </row>
    <row r="33" spans="1:15" ht="15.75" customHeight="1" x14ac:dyDescent="0.25">
      <c r="A33" s="398"/>
      <c r="B33" s="398"/>
      <c r="C33" s="399"/>
      <c r="D33" s="399"/>
      <c r="E33" s="115"/>
      <c r="F33" s="115"/>
      <c r="G33" s="115"/>
      <c r="H33" s="115"/>
      <c r="I33" s="115"/>
      <c r="J33" s="115"/>
      <c r="K33" s="115"/>
      <c r="L33" s="115"/>
      <c r="M33" s="115"/>
      <c r="N33" s="115"/>
      <c r="O33" s="115"/>
    </row>
    <row r="34" spans="1:15" ht="15.75" customHeight="1" x14ac:dyDescent="0.25">
      <c r="A34" s="398"/>
      <c r="B34" s="398"/>
      <c r="C34" s="399"/>
      <c r="D34" s="399"/>
      <c r="E34" s="115"/>
      <c r="F34" s="115"/>
      <c r="G34" s="115"/>
      <c r="H34" s="115"/>
      <c r="I34" s="115"/>
      <c r="J34" s="115"/>
      <c r="K34" s="115"/>
      <c r="L34" s="115"/>
      <c r="M34" s="115"/>
      <c r="N34" s="115"/>
      <c r="O34" s="115"/>
    </row>
    <row r="35" spans="1:15" ht="15.75" customHeight="1" x14ac:dyDescent="0.25">
      <c r="A35" s="398"/>
      <c r="B35" s="398"/>
      <c r="C35" s="399"/>
      <c r="D35" s="399"/>
      <c r="E35" s="115"/>
      <c r="F35" s="115"/>
      <c r="G35" s="115"/>
      <c r="H35" s="115"/>
      <c r="I35" s="115"/>
      <c r="J35" s="115"/>
      <c r="K35" s="115"/>
      <c r="L35" s="115"/>
      <c r="M35" s="115"/>
      <c r="N35" s="115"/>
      <c r="O35" s="115"/>
    </row>
    <row r="36" spans="1:15" ht="15.75" customHeight="1" x14ac:dyDescent="0.25">
      <c r="A36" s="398"/>
      <c r="B36" s="398"/>
      <c r="C36" s="399"/>
      <c r="D36" s="399"/>
      <c r="E36" s="115"/>
      <c r="F36" s="115"/>
      <c r="G36" s="115"/>
      <c r="H36" s="115"/>
      <c r="I36" s="115"/>
      <c r="J36" s="115"/>
      <c r="K36" s="115"/>
      <c r="L36" s="115"/>
      <c r="M36" s="115"/>
      <c r="N36" s="115"/>
      <c r="O36" s="115"/>
    </row>
    <row r="37" spans="1:15" ht="15.75" customHeight="1" x14ac:dyDescent="0.25">
      <c r="A37" s="398"/>
      <c r="B37" s="398"/>
      <c r="C37" s="399"/>
      <c r="D37" s="399"/>
      <c r="E37" s="115"/>
      <c r="F37" s="115"/>
      <c r="G37" s="115"/>
      <c r="H37" s="115"/>
      <c r="I37" s="115"/>
      <c r="J37" s="115"/>
      <c r="K37" s="115"/>
      <c r="L37" s="115"/>
      <c r="M37" s="115"/>
      <c r="N37" s="115"/>
      <c r="O37" s="115"/>
    </row>
    <row r="38" spans="1:15" ht="15.75" customHeight="1" x14ac:dyDescent="0.25">
      <c r="A38" s="169"/>
      <c r="B38" s="169"/>
      <c r="C38" s="173"/>
      <c r="D38" s="173"/>
      <c r="E38" s="115"/>
      <c r="F38" s="115"/>
      <c r="G38" s="115"/>
      <c r="H38" s="115"/>
      <c r="I38" s="115"/>
      <c r="J38" s="115"/>
      <c r="K38" s="115"/>
      <c r="L38" s="115"/>
      <c r="M38" s="115"/>
      <c r="N38" s="115"/>
      <c r="O38" s="115"/>
    </row>
    <row r="39" spans="1:15" ht="15.75" customHeight="1" x14ac:dyDescent="0.25">
      <c r="A39" s="169"/>
      <c r="B39" s="169"/>
      <c r="C39" s="173"/>
      <c r="D39" s="173"/>
      <c r="E39" s="115"/>
      <c r="F39" s="115"/>
      <c r="G39" s="115"/>
      <c r="H39" s="115"/>
      <c r="I39" s="115"/>
      <c r="J39" s="115"/>
      <c r="K39" s="115"/>
      <c r="L39" s="115"/>
      <c r="M39" s="115"/>
      <c r="N39" s="115"/>
      <c r="O39" s="115"/>
    </row>
    <row r="40" spans="1:15" ht="15.75" customHeight="1" x14ac:dyDescent="0.25">
      <c r="A40" s="169"/>
      <c r="B40" s="169"/>
      <c r="C40" s="173"/>
      <c r="D40" s="173"/>
      <c r="E40" s="115"/>
      <c r="F40" s="115"/>
      <c r="G40" s="115"/>
      <c r="H40" s="115"/>
      <c r="I40" s="115"/>
      <c r="J40" s="115"/>
      <c r="K40" s="115"/>
      <c r="L40" s="115"/>
      <c r="M40" s="115"/>
      <c r="N40" s="115"/>
      <c r="O40" s="115"/>
    </row>
    <row r="41" spans="1:15" ht="15.75" customHeight="1" x14ac:dyDescent="0.25">
      <c r="A41" s="169"/>
      <c r="B41" s="169"/>
      <c r="C41" s="173"/>
      <c r="D41" s="173"/>
      <c r="E41" s="115"/>
      <c r="F41" s="115"/>
      <c r="G41" s="115"/>
      <c r="H41" s="115"/>
      <c r="I41" s="115"/>
      <c r="J41" s="115"/>
      <c r="K41" s="115"/>
      <c r="L41" s="115"/>
      <c r="M41" s="115"/>
      <c r="N41" s="115"/>
      <c r="O41" s="115"/>
    </row>
    <row r="42" spans="1:15" ht="15.75" customHeight="1" x14ac:dyDescent="0.25">
      <c r="A42" s="169"/>
      <c r="B42" s="169"/>
      <c r="C42" s="173"/>
      <c r="D42" s="173"/>
      <c r="E42" s="115"/>
      <c r="F42" s="115"/>
      <c r="G42" s="115"/>
      <c r="H42" s="115"/>
      <c r="I42" s="115"/>
      <c r="J42" s="115"/>
      <c r="K42" s="115"/>
      <c r="L42" s="115"/>
      <c r="M42" s="115"/>
      <c r="N42" s="115"/>
      <c r="O42" s="115"/>
    </row>
    <row r="43" spans="1:15" ht="15.75" customHeight="1" x14ac:dyDescent="0.25">
      <c r="A43" s="169"/>
      <c r="B43" s="169"/>
      <c r="C43" s="173"/>
      <c r="D43" s="173"/>
      <c r="E43" s="115"/>
      <c r="F43" s="115"/>
      <c r="G43" s="115"/>
      <c r="H43" s="115"/>
      <c r="I43" s="115"/>
      <c r="J43" s="115"/>
      <c r="K43" s="115"/>
      <c r="L43" s="115"/>
      <c r="M43" s="115"/>
      <c r="N43" s="115"/>
      <c r="O43" s="115"/>
    </row>
    <row r="44" spans="1:15" ht="15.75" customHeight="1" x14ac:dyDescent="0.25">
      <c r="A44" s="169"/>
      <c r="B44" s="169"/>
      <c r="C44" s="173"/>
      <c r="D44" s="173"/>
      <c r="E44" s="115"/>
      <c r="F44" s="115"/>
      <c r="G44" s="115"/>
      <c r="H44" s="115"/>
      <c r="I44" s="115"/>
      <c r="J44" s="115"/>
      <c r="K44" s="115"/>
      <c r="L44" s="115"/>
      <c r="M44" s="115"/>
      <c r="N44" s="115"/>
      <c r="O44" s="115"/>
    </row>
    <row r="45" spans="1:15" ht="15.75" customHeight="1" x14ac:dyDescent="0.25">
      <c r="A45" s="169"/>
      <c r="B45" s="169"/>
      <c r="C45" s="173"/>
      <c r="D45" s="173"/>
      <c r="E45" s="115"/>
      <c r="F45" s="115"/>
      <c r="G45" s="115"/>
      <c r="H45" s="115"/>
      <c r="I45" s="115"/>
      <c r="J45" s="115"/>
      <c r="K45" s="115"/>
      <c r="L45" s="115"/>
      <c r="M45" s="115"/>
      <c r="N45" s="115"/>
      <c r="O45" s="115"/>
    </row>
    <row r="46" spans="1:15" ht="15.75" customHeight="1" x14ac:dyDescent="0.25">
      <c r="A46" s="169"/>
      <c r="B46" s="169"/>
      <c r="C46" s="173"/>
      <c r="D46" s="173"/>
      <c r="E46" s="115"/>
      <c r="F46" s="115"/>
      <c r="G46" s="115"/>
      <c r="H46" s="115"/>
      <c r="I46" s="115"/>
      <c r="J46" s="115"/>
      <c r="K46" s="115"/>
      <c r="L46" s="115"/>
      <c r="M46" s="115"/>
      <c r="N46" s="115"/>
      <c r="O46" s="115"/>
    </row>
    <row r="47" spans="1:15" ht="15.75" customHeight="1" x14ac:dyDescent="0.25">
      <c r="A47" s="169"/>
      <c r="B47" s="169"/>
      <c r="C47" s="173"/>
      <c r="D47" s="173"/>
      <c r="E47" s="115"/>
      <c r="F47" s="115"/>
      <c r="G47" s="115"/>
      <c r="H47" s="115"/>
      <c r="I47" s="115"/>
      <c r="J47" s="115"/>
      <c r="K47" s="115"/>
      <c r="L47" s="115"/>
      <c r="M47" s="115"/>
      <c r="N47" s="115"/>
      <c r="O47" s="115"/>
    </row>
    <row r="48" spans="1:15" ht="15.75" customHeight="1" x14ac:dyDescent="0.25">
      <c r="A48" s="169"/>
      <c r="B48" s="169"/>
      <c r="C48" s="173"/>
      <c r="D48" s="173"/>
      <c r="E48" s="115"/>
      <c r="F48" s="115"/>
      <c r="G48" s="115"/>
      <c r="H48" s="115"/>
      <c r="I48" s="115"/>
      <c r="J48" s="115"/>
      <c r="K48" s="115"/>
      <c r="L48" s="115"/>
      <c r="M48" s="115"/>
      <c r="N48" s="115"/>
      <c r="O48" s="115"/>
    </row>
    <row r="49" spans="1:15" ht="15.75" customHeight="1" x14ac:dyDescent="0.25">
      <c r="A49" s="169"/>
      <c r="B49" s="169"/>
      <c r="C49" s="173"/>
      <c r="D49" s="173"/>
      <c r="E49" s="115"/>
      <c r="F49" s="115"/>
      <c r="G49" s="115"/>
      <c r="H49" s="115"/>
      <c r="I49" s="115"/>
      <c r="J49" s="115"/>
      <c r="K49" s="115"/>
      <c r="L49" s="115"/>
      <c r="M49" s="115"/>
      <c r="N49" s="115"/>
      <c r="O49" s="115"/>
    </row>
    <row r="50" spans="1:15" ht="15.75" customHeight="1" x14ac:dyDescent="0.25">
      <c r="A50" s="169"/>
      <c r="B50" s="169"/>
      <c r="C50" s="173"/>
      <c r="D50" s="173"/>
      <c r="E50" s="115"/>
      <c r="F50" s="115"/>
      <c r="G50" s="115"/>
      <c r="H50" s="115"/>
      <c r="I50" s="115"/>
      <c r="J50" s="115"/>
      <c r="K50" s="115"/>
      <c r="L50" s="115"/>
      <c r="M50" s="115"/>
      <c r="N50" s="115"/>
      <c r="O50" s="115"/>
    </row>
    <row r="51" spans="1:15" ht="15.75" customHeight="1" x14ac:dyDescent="0.25">
      <c r="A51" s="169"/>
      <c r="B51" s="169"/>
      <c r="C51" s="173"/>
      <c r="D51" s="173"/>
      <c r="E51" s="115"/>
      <c r="F51" s="115"/>
      <c r="G51" s="115"/>
      <c r="H51" s="115"/>
      <c r="I51" s="115"/>
      <c r="J51" s="115"/>
      <c r="K51" s="115"/>
      <c r="L51" s="115"/>
      <c r="M51" s="115"/>
      <c r="N51" s="115"/>
      <c r="O51" s="115"/>
    </row>
    <row r="52" spans="1:15" ht="15.75" customHeight="1" x14ac:dyDescent="0.25">
      <c r="A52" s="169"/>
      <c r="B52" s="169"/>
      <c r="C52" s="173"/>
      <c r="D52" s="173"/>
      <c r="E52" s="115"/>
      <c r="F52" s="115"/>
      <c r="G52" s="115"/>
      <c r="H52" s="115"/>
      <c r="I52" s="115"/>
      <c r="J52" s="115"/>
      <c r="K52" s="115"/>
      <c r="L52" s="115"/>
      <c r="M52" s="115"/>
      <c r="N52" s="115"/>
      <c r="O52" s="115"/>
    </row>
    <row r="53" spans="1:15" ht="15.75" customHeight="1" x14ac:dyDescent="0.25">
      <c r="A53" s="169"/>
      <c r="B53" s="49"/>
      <c r="C53" s="50"/>
      <c r="D53" s="50"/>
    </row>
    <row r="54" spans="1:15" ht="15.75" customHeight="1" x14ac:dyDescent="0.25">
      <c r="A54" s="169"/>
      <c r="B54" s="49"/>
      <c r="C54" s="50"/>
      <c r="D54" s="50"/>
    </row>
    <row r="55" spans="1:15" ht="15.75" customHeight="1" x14ac:dyDescent="0.25">
      <c r="A55" s="169"/>
      <c r="B55" s="49"/>
      <c r="C55" s="50"/>
      <c r="D55" s="50"/>
    </row>
    <row r="56" spans="1:15" ht="15.75" customHeight="1" x14ac:dyDescent="0.25">
      <c r="A56" s="169"/>
      <c r="B56" s="49"/>
      <c r="C56" s="50"/>
      <c r="D56" s="50"/>
    </row>
    <row r="57" spans="1:15" ht="15.75" customHeight="1" x14ac:dyDescent="0.25">
      <c r="A57" s="169"/>
      <c r="B57" s="49"/>
      <c r="C57" s="50"/>
      <c r="D57" s="50"/>
    </row>
    <row r="58" spans="1:15" ht="15.75" customHeight="1" x14ac:dyDescent="0.25">
      <c r="A58" s="169"/>
      <c r="B58" s="49"/>
      <c r="C58" s="50"/>
      <c r="D58" s="50"/>
    </row>
    <row r="59" spans="1:15" ht="15.75" customHeight="1" x14ac:dyDescent="0.25">
      <c r="A59" s="169"/>
      <c r="B59" s="49"/>
      <c r="C59" s="50"/>
      <c r="D59" s="50"/>
    </row>
    <row r="60" spans="1:15" ht="15.75" customHeight="1" x14ac:dyDescent="0.25">
      <c r="A60" s="169"/>
      <c r="B60" s="49"/>
      <c r="C60" s="50"/>
      <c r="D60" s="50"/>
    </row>
    <row r="61" spans="1:15" ht="15.75" customHeight="1" x14ac:dyDescent="0.25">
      <c r="A61" s="169"/>
      <c r="B61" s="49"/>
      <c r="C61" s="50"/>
      <c r="D61" s="50"/>
    </row>
    <row r="62" spans="1:15" ht="15.75" customHeight="1" x14ac:dyDescent="0.25">
      <c r="A62" s="169"/>
      <c r="B62" s="49"/>
      <c r="C62" s="50"/>
      <c r="D62" s="50"/>
    </row>
    <row r="63" spans="1:15" ht="15.75" customHeight="1" x14ac:dyDescent="0.25">
      <c r="A63" s="169"/>
      <c r="B63" s="49"/>
      <c r="C63" s="50"/>
      <c r="D63" s="50"/>
    </row>
    <row r="64" spans="1:15" ht="15.75" customHeight="1" x14ac:dyDescent="0.25">
      <c r="A64" s="169"/>
      <c r="B64" s="49"/>
      <c r="C64" s="50"/>
      <c r="D64" s="50"/>
    </row>
    <row r="65" spans="1:4" ht="15.75" customHeight="1" x14ac:dyDescent="0.25">
      <c r="A65" s="169"/>
      <c r="B65" s="49"/>
      <c r="C65" s="50"/>
      <c r="D65" s="50"/>
    </row>
    <row r="66" spans="1:4" ht="15.75" customHeight="1" x14ac:dyDescent="0.25">
      <c r="A66" s="169"/>
      <c r="B66" s="49"/>
      <c r="C66" s="50"/>
      <c r="D66" s="50"/>
    </row>
    <row r="67" spans="1:4" ht="15.75" customHeight="1" x14ac:dyDescent="0.25">
      <c r="A67" s="169"/>
      <c r="B67" s="49"/>
      <c r="C67" s="50"/>
      <c r="D67" s="50"/>
    </row>
    <row r="68" spans="1:4" ht="15.75" customHeight="1" x14ac:dyDescent="0.25">
      <c r="A68" s="169"/>
      <c r="B68" s="49"/>
      <c r="C68" s="50"/>
      <c r="D68" s="50"/>
    </row>
    <row r="69" spans="1:4" ht="15.75" customHeight="1" x14ac:dyDescent="0.25">
      <c r="A69" s="169"/>
      <c r="B69" s="49"/>
      <c r="C69" s="50"/>
      <c r="D69" s="50"/>
    </row>
    <row r="70" spans="1:4" ht="15.75" customHeight="1" x14ac:dyDescent="0.25">
      <c r="A70" s="169"/>
      <c r="B70" s="49"/>
      <c r="C70" s="50"/>
      <c r="D70" s="50"/>
    </row>
    <row r="71" spans="1:4" ht="15.75" customHeight="1" x14ac:dyDescent="0.25">
      <c r="A71" s="169"/>
      <c r="B71" s="49"/>
      <c r="C71" s="50"/>
      <c r="D71" s="50"/>
    </row>
    <row r="72" spans="1:4" ht="15.75" customHeight="1" x14ac:dyDescent="0.25">
      <c r="A72" s="169"/>
      <c r="B72" s="49"/>
      <c r="C72" s="50"/>
      <c r="D72" s="50"/>
    </row>
    <row r="73" spans="1:4" ht="15.75" customHeight="1" x14ac:dyDescent="0.25">
      <c r="A73" s="169"/>
      <c r="B73" s="49"/>
      <c r="C73" s="50"/>
      <c r="D73" s="50"/>
    </row>
    <row r="74" spans="1:4" ht="15.75" customHeight="1" x14ac:dyDescent="0.25">
      <c r="A74" s="169"/>
      <c r="B74" s="49"/>
      <c r="C74" s="50"/>
      <c r="D74" s="50"/>
    </row>
    <row r="75" spans="1:4" ht="15.75" customHeight="1" x14ac:dyDescent="0.25">
      <c r="A75" s="169"/>
      <c r="B75" s="49"/>
      <c r="C75" s="50"/>
      <c r="D75" s="50"/>
    </row>
    <row r="76" spans="1:4" ht="15.75" customHeight="1" x14ac:dyDescent="0.25">
      <c r="A76" s="169"/>
      <c r="B76" s="49"/>
      <c r="C76" s="50"/>
      <c r="D76" s="50"/>
    </row>
    <row r="77" spans="1:4" ht="15.75" customHeight="1" x14ac:dyDescent="0.25">
      <c r="A77" s="169"/>
      <c r="B77" s="49"/>
      <c r="C77" s="50"/>
      <c r="D77" s="50"/>
    </row>
    <row r="78" spans="1:4" ht="15.75" customHeight="1" x14ac:dyDescent="0.25">
      <c r="A78" s="169"/>
      <c r="B78" s="49"/>
      <c r="C78" s="50"/>
      <c r="D78" s="50"/>
    </row>
    <row r="79" spans="1:4" ht="15.75" customHeight="1" x14ac:dyDescent="0.25">
      <c r="A79" s="169"/>
      <c r="B79" s="49"/>
      <c r="C79" s="50"/>
      <c r="D79" s="50"/>
    </row>
    <row r="80" spans="1:4" ht="15.75" customHeight="1" x14ac:dyDescent="0.25">
      <c r="A80" s="169"/>
      <c r="B80" s="49"/>
      <c r="C80" s="50"/>
      <c r="D80" s="50"/>
    </row>
    <row r="81" spans="1:4" ht="15.75" customHeight="1" x14ac:dyDescent="0.25">
      <c r="A81" s="169"/>
      <c r="B81" s="49"/>
      <c r="C81" s="50"/>
      <c r="D81" s="50"/>
    </row>
    <row r="82" spans="1:4" ht="15.75" customHeight="1" x14ac:dyDescent="0.25">
      <c r="A82" s="169"/>
      <c r="B82" s="49"/>
      <c r="C82" s="50"/>
      <c r="D82" s="50"/>
    </row>
    <row r="83" spans="1:4" ht="15.75" customHeight="1" x14ac:dyDescent="0.25">
      <c r="A83" s="169"/>
      <c r="B83" s="49"/>
      <c r="C83" s="50"/>
      <c r="D83" s="50"/>
    </row>
    <row r="84" spans="1:4" ht="15.75" customHeight="1" x14ac:dyDescent="0.25">
      <c r="A84" s="169"/>
      <c r="B84" s="49"/>
      <c r="C84" s="50"/>
      <c r="D84" s="50"/>
    </row>
    <row r="85" spans="1:4" ht="15.75" customHeight="1" x14ac:dyDescent="0.25">
      <c r="A85" s="169"/>
      <c r="B85" s="49"/>
      <c r="C85" s="50"/>
      <c r="D85" s="50"/>
    </row>
    <row r="86" spans="1:4" ht="15.75" customHeight="1" x14ac:dyDescent="0.25">
      <c r="A86" s="169"/>
      <c r="B86" s="49"/>
      <c r="C86" s="50"/>
      <c r="D86" s="50"/>
    </row>
    <row r="87" spans="1:4" ht="15.75" customHeight="1" x14ac:dyDescent="0.25">
      <c r="A87" s="169"/>
      <c r="B87" s="49"/>
      <c r="C87" s="50"/>
      <c r="D87" s="50"/>
    </row>
    <row r="88" spans="1:4" ht="15.75" customHeight="1" x14ac:dyDescent="0.25">
      <c r="A88" s="169"/>
      <c r="B88" s="49"/>
      <c r="C88" s="50"/>
      <c r="D88" s="50"/>
    </row>
    <row r="89" spans="1:4" ht="15.75" customHeight="1" x14ac:dyDescent="0.25">
      <c r="A89" s="169"/>
      <c r="B89" s="49"/>
      <c r="C89" s="50"/>
      <c r="D89" s="50"/>
    </row>
    <row r="90" spans="1:4" ht="15.75" customHeight="1" x14ac:dyDescent="0.25">
      <c r="A90" s="169"/>
      <c r="B90" s="49"/>
      <c r="C90" s="50"/>
      <c r="D90" s="50"/>
    </row>
    <row r="91" spans="1:4" ht="15.75" customHeight="1" x14ac:dyDescent="0.25">
      <c r="A91" s="169"/>
      <c r="B91" s="49"/>
      <c r="C91" s="50"/>
      <c r="D91" s="50"/>
    </row>
    <row r="92" spans="1:4" ht="15.75" customHeight="1" x14ac:dyDescent="0.25">
      <c r="A92" s="169"/>
      <c r="B92" s="49"/>
      <c r="C92" s="50"/>
      <c r="D92" s="50"/>
    </row>
    <row r="93" spans="1:4" ht="15.75" customHeight="1" x14ac:dyDescent="0.25">
      <c r="A93" s="169"/>
      <c r="B93" s="49"/>
      <c r="C93" s="50"/>
      <c r="D93" s="50"/>
    </row>
    <row r="94" spans="1:4" ht="15.75" customHeight="1" x14ac:dyDescent="0.25">
      <c r="A94" s="169"/>
      <c r="B94" s="49"/>
      <c r="C94" s="50"/>
      <c r="D94" s="50"/>
    </row>
    <row r="95" spans="1:4" ht="15.75" customHeight="1" x14ac:dyDescent="0.25">
      <c r="A95" s="169"/>
      <c r="B95" s="49"/>
      <c r="C95" s="50"/>
      <c r="D95" s="50"/>
    </row>
    <row r="96" spans="1:4" ht="15.75" customHeight="1" x14ac:dyDescent="0.25">
      <c r="A96" s="169"/>
      <c r="B96" s="49"/>
      <c r="C96" s="50"/>
      <c r="D96" s="50"/>
    </row>
    <row r="97" spans="1:4" ht="15.75" customHeight="1" x14ac:dyDescent="0.25">
      <c r="A97" s="169"/>
      <c r="B97" s="49"/>
      <c r="C97" s="50"/>
      <c r="D97" s="50"/>
    </row>
    <row r="98" spans="1:4" ht="15.75" customHeight="1" x14ac:dyDescent="0.25">
      <c r="A98" s="169"/>
      <c r="B98" s="49"/>
      <c r="C98" s="50"/>
      <c r="D98" s="50"/>
    </row>
    <row r="99" spans="1:4" ht="15.75" customHeight="1" x14ac:dyDescent="0.25">
      <c r="A99" s="169"/>
      <c r="B99" s="49"/>
      <c r="C99" s="50"/>
      <c r="D99" s="50"/>
    </row>
    <row r="100" spans="1:4" ht="15.75" customHeight="1" x14ac:dyDescent="0.25">
      <c r="A100" s="169"/>
      <c r="B100" s="49"/>
      <c r="C100" s="50"/>
      <c r="D100" s="50"/>
    </row>
    <row r="101" spans="1:4" ht="15.75" customHeight="1" x14ac:dyDescent="0.25">
      <c r="A101" s="169"/>
      <c r="B101" s="49"/>
      <c r="C101" s="50"/>
      <c r="D101" s="50"/>
    </row>
    <row r="102" spans="1:4" ht="15.75" customHeight="1" x14ac:dyDescent="0.25">
      <c r="A102" s="169"/>
      <c r="B102" s="49"/>
      <c r="C102" s="50"/>
      <c r="D102" s="50"/>
    </row>
    <row r="103" spans="1:4" ht="15.75" customHeight="1" x14ac:dyDescent="0.25">
      <c r="A103" s="169"/>
      <c r="B103" s="49"/>
      <c r="C103" s="50"/>
      <c r="D103" s="50"/>
    </row>
    <row r="104" spans="1:4" ht="15.75" customHeight="1" x14ac:dyDescent="0.25">
      <c r="A104" s="169"/>
      <c r="B104" s="49"/>
      <c r="C104" s="50"/>
      <c r="D104" s="50"/>
    </row>
    <row r="105" spans="1:4" ht="15.75" customHeight="1" x14ac:dyDescent="0.25">
      <c r="A105" s="169"/>
      <c r="B105" s="49"/>
      <c r="C105" s="50"/>
      <c r="D105" s="50"/>
    </row>
    <row r="106" spans="1:4" ht="15.75" customHeight="1" x14ac:dyDescent="0.25">
      <c r="A106" s="169"/>
      <c r="B106" s="49"/>
      <c r="C106" s="50"/>
      <c r="D106" s="50"/>
    </row>
    <row r="107" spans="1:4" ht="15.75" customHeight="1" x14ac:dyDescent="0.25">
      <c r="A107" s="169"/>
      <c r="B107" s="49"/>
      <c r="C107" s="50"/>
      <c r="D107" s="50"/>
    </row>
    <row r="108" spans="1:4" ht="15.75" customHeight="1" x14ac:dyDescent="0.25">
      <c r="A108" s="169"/>
      <c r="B108" s="49"/>
      <c r="C108" s="50"/>
      <c r="D108" s="50"/>
    </row>
    <row r="109" spans="1:4" ht="15.75" customHeight="1" x14ac:dyDescent="0.25">
      <c r="A109" s="169"/>
      <c r="B109" s="49"/>
      <c r="C109" s="50"/>
      <c r="D109" s="50"/>
    </row>
    <row r="110" spans="1:4" ht="15.75" customHeight="1" x14ac:dyDescent="0.25">
      <c r="A110" s="169"/>
      <c r="B110" s="49"/>
      <c r="C110" s="50"/>
      <c r="D110" s="50"/>
    </row>
    <row r="111" spans="1:4" ht="15.75" customHeight="1" x14ac:dyDescent="0.25">
      <c r="A111" s="169"/>
      <c r="B111" s="49"/>
      <c r="C111" s="50"/>
      <c r="D111" s="50"/>
    </row>
    <row r="112" spans="1:4" ht="15.75" customHeight="1" x14ac:dyDescent="0.25">
      <c r="A112" s="169"/>
      <c r="B112" s="49"/>
      <c r="C112" s="50"/>
      <c r="D112" s="50"/>
    </row>
    <row r="113" spans="1:4" ht="15.75" customHeight="1" x14ac:dyDescent="0.25">
      <c r="A113" s="169"/>
      <c r="B113" s="49"/>
      <c r="C113" s="50"/>
      <c r="D113" s="50"/>
    </row>
    <row r="114" spans="1:4" ht="15.75" customHeight="1" x14ac:dyDescent="0.25">
      <c r="A114" s="169"/>
      <c r="B114" s="49"/>
      <c r="C114" s="50"/>
      <c r="D114" s="50"/>
    </row>
    <row r="115" spans="1:4" ht="15.75" customHeight="1" x14ac:dyDescent="0.25">
      <c r="A115" s="169"/>
      <c r="B115" s="49"/>
      <c r="C115" s="50"/>
      <c r="D115" s="50"/>
    </row>
    <row r="116" spans="1:4" ht="15.75" customHeight="1" x14ac:dyDescent="0.25">
      <c r="A116" s="169"/>
      <c r="B116" s="49"/>
      <c r="C116" s="50"/>
      <c r="D116" s="50"/>
    </row>
    <row r="117" spans="1:4" ht="15.75" customHeight="1" x14ac:dyDescent="0.25">
      <c r="A117" s="169"/>
      <c r="B117" s="49"/>
      <c r="C117" s="50"/>
      <c r="D117" s="50"/>
    </row>
    <row r="118" spans="1:4" ht="15.75" customHeight="1" x14ac:dyDescent="0.25">
      <c r="A118" s="169"/>
      <c r="B118" s="49"/>
      <c r="C118" s="50"/>
      <c r="D118" s="50"/>
    </row>
    <row r="119" spans="1:4" ht="15.75" customHeight="1" x14ac:dyDescent="0.25">
      <c r="A119" s="169"/>
      <c r="B119" s="49"/>
      <c r="C119" s="50"/>
      <c r="D119" s="50"/>
    </row>
    <row r="120" spans="1:4" ht="15.75" customHeight="1" x14ac:dyDescent="0.25">
      <c r="A120" s="169"/>
      <c r="B120" s="49"/>
      <c r="C120" s="50"/>
      <c r="D120" s="50"/>
    </row>
    <row r="121" spans="1:4" ht="15.75" customHeight="1" x14ac:dyDescent="0.25">
      <c r="A121" s="169"/>
      <c r="B121" s="49"/>
      <c r="C121" s="50"/>
      <c r="D121" s="50"/>
    </row>
    <row r="122" spans="1:4" ht="15.75" customHeight="1" x14ac:dyDescent="0.25">
      <c r="A122" s="169"/>
      <c r="B122" s="49"/>
      <c r="C122" s="50"/>
      <c r="D122" s="50"/>
    </row>
    <row r="123" spans="1:4" ht="15.75" customHeight="1" x14ac:dyDescent="0.25">
      <c r="A123" s="169"/>
      <c r="B123" s="49"/>
      <c r="C123" s="50"/>
      <c r="D123" s="50"/>
    </row>
    <row r="124" spans="1:4" ht="15.75" customHeight="1" x14ac:dyDescent="0.25">
      <c r="A124" s="169"/>
      <c r="B124" s="49"/>
      <c r="C124" s="50"/>
      <c r="D124" s="50"/>
    </row>
    <row r="125" spans="1:4" ht="15.75" customHeight="1" x14ac:dyDescent="0.25">
      <c r="A125" s="169"/>
      <c r="B125" s="49"/>
      <c r="C125" s="50"/>
      <c r="D125" s="50"/>
    </row>
    <row r="126" spans="1:4" ht="15.75" customHeight="1" x14ac:dyDescent="0.25">
      <c r="A126" s="169"/>
      <c r="B126" s="49"/>
      <c r="C126" s="50"/>
      <c r="D126" s="50"/>
    </row>
    <row r="127" spans="1:4" ht="15.75" customHeight="1" x14ac:dyDescent="0.25">
      <c r="A127" s="169"/>
      <c r="B127" s="49"/>
      <c r="C127" s="50"/>
      <c r="D127" s="50"/>
    </row>
    <row r="128" spans="1:4" ht="15.75" customHeight="1" x14ac:dyDescent="0.25">
      <c r="A128" s="169"/>
      <c r="B128" s="49"/>
      <c r="C128" s="50"/>
      <c r="D128" s="50"/>
    </row>
    <row r="129" spans="1:4" ht="15.75" customHeight="1" x14ac:dyDescent="0.25">
      <c r="A129" s="169"/>
      <c r="B129" s="49"/>
      <c r="C129" s="50"/>
      <c r="D129" s="50"/>
    </row>
    <row r="130" spans="1:4" ht="15.75" customHeight="1" x14ac:dyDescent="0.25">
      <c r="A130" s="169"/>
      <c r="B130" s="49"/>
      <c r="C130" s="50"/>
      <c r="D130" s="50"/>
    </row>
    <row r="131" spans="1:4" ht="15.75" customHeight="1" x14ac:dyDescent="0.25">
      <c r="A131" s="169"/>
      <c r="B131" s="49"/>
      <c r="C131" s="50"/>
      <c r="D131" s="50"/>
    </row>
    <row r="132" spans="1:4" ht="15.75" customHeight="1" x14ac:dyDescent="0.25">
      <c r="A132" s="169"/>
      <c r="B132" s="49"/>
      <c r="C132" s="50"/>
      <c r="D132" s="50"/>
    </row>
    <row r="133" spans="1:4" ht="15.75" customHeight="1" x14ac:dyDescent="0.25">
      <c r="A133" s="169"/>
      <c r="B133" s="49"/>
      <c r="C133" s="50"/>
      <c r="D133" s="50"/>
    </row>
    <row r="134" spans="1:4" ht="15.75" customHeight="1" x14ac:dyDescent="0.25">
      <c r="A134" s="169"/>
      <c r="B134" s="49"/>
      <c r="C134" s="50"/>
      <c r="D134" s="50"/>
    </row>
    <row r="135" spans="1:4" ht="15.75" customHeight="1" x14ac:dyDescent="0.25">
      <c r="A135" s="169"/>
      <c r="B135" s="49"/>
      <c r="C135" s="50"/>
      <c r="D135" s="50"/>
    </row>
    <row r="136" spans="1:4" ht="15.75" customHeight="1" x14ac:dyDescent="0.25">
      <c r="A136" s="169"/>
      <c r="B136" s="49"/>
      <c r="C136" s="50"/>
      <c r="D136" s="50"/>
    </row>
    <row r="137" spans="1:4" ht="15.75" customHeight="1" x14ac:dyDescent="0.25">
      <c r="A137" s="169"/>
      <c r="B137" s="49"/>
      <c r="C137" s="50"/>
      <c r="D137" s="50"/>
    </row>
    <row r="138" spans="1:4" ht="15.75" customHeight="1" x14ac:dyDescent="0.25">
      <c r="A138" s="169"/>
      <c r="B138" s="49"/>
      <c r="C138" s="50"/>
      <c r="D138" s="50"/>
    </row>
    <row r="139" spans="1:4" ht="15.75" customHeight="1" x14ac:dyDescent="0.25">
      <c r="A139" s="169"/>
      <c r="B139" s="49"/>
      <c r="C139" s="50"/>
      <c r="D139" s="50"/>
    </row>
    <row r="140" spans="1:4" ht="15.75" customHeight="1" x14ac:dyDescent="0.25">
      <c r="A140" s="169"/>
      <c r="B140" s="49"/>
      <c r="C140" s="50"/>
      <c r="D140" s="50"/>
    </row>
    <row r="141" spans="1:4" ht="15.75" customHeight="1" x14ac:dyDescent="0.25">
      <c r="A141" s="169"/>
      <c r="B141" s="49"/>
      <c r="C141" s="50"/>
      <c r="D141" s="50"/>
    </row>
    <row r="142" spans="1:4" ht="15.75" customHeight="1" x14ac:dyDescent="0.25">
      <c r="A142" s="169"/>
      <c r="B142" s="49"/>
      <c r="C142" s="50"/>
      <c r="D142" s="50"/>
    </row>
    <row r="143" spans="1:4" ht="15.75" customHeight="1" x14ac:dyDescent="0.25">
      <c r="A143" s="169"/>
      <c r="B143" s="49"/>
      <c r="C143" s="50"/>
      <c r="D143" s="50"/>
    </row>
    <row r="144" spans="1:4" ht="15.75" customHeight="1" x14ac:dyDescent="0.25">
      <c r="A144" s="169"/>
      <c r="B144" s="49"/>
      <c r="C144" s="50"/>
      <c r="D144" s="50"/>
    </row>
    <row r="145" spans="1:4" ht="15.75" customHeight="1" x14ac:dyDescent="0.25">
      <c r="A145" s="169"/>
      <c r="B145" s="49"/>
      <c r="C145" s="50"/>
      <c r="D145" s="50"/>
    </row>
    <row r="146" spans="1:4" ht="15.75" customHeight="1" x14ac:dyDescent="0.25">
      <c r="A146" s="169"/>
      <c r="B146" s="49"/>
      <c r="C146" s="50"/>
      <c r="D146" s="50"/>
    </row>
    <row r="147" spans="1:4" ht="15.75" customHeight="1" x14ac:dyDescent="0.25">
      <c r="A147" s="169"/>
      <c r="B147" s="49"/>
      <c r="C147" s="50"/>
      <c r="D147" s="50"/>
    </row>
    <row r="148" spans="1:4" ht="15.75" customHeight="1" x14ac:dyDescent="0.25">
      <c r="A148" s="169"/>
      <c r="B148" s="49"/>
      <c r="C148" s="50"/>
      <c r="D148" s="50"/>
    </row>
    <row r="149" spans="1:4" ht="15.75" customHeight="1" x14ac:dyDescent="0.25">
      <c r="A149" s="169"/>
      <c r="B149" s="49"/>
      <c r="C149" s="50"/>
      <c r="D149" s="50"/>
    </row>
    <row r="150" spans="1:4" ht="15.75" customHeight="1" x14ac:dyDescent="0.25">
      <c r="A150" s="169"/>
      <c r="B150" s="49"/>
      <c r="C150" s="50"/>
      <c r="D150" s="50"/>
    </row>
    <row r="151" spans="1:4" ht="15.75" customHeight="1" x14ac:dyDescent="0.25">
      <c r="A151" s="169"/>
      <c r="B151" s="49"/>
      <c r="C151" s="50"/>
      <c r="D151" s="50"/>
    </row>
    <row r="152" spans="1:4" ht="15.75" customHeight="1" x14ac:dyDescent="0.25">
      <c r="A152" s="169"/>
      <c r="B152" s="49"/>
      <c r="C152" s="50"/>
      <c r="D152" s="50"/>
    </row>
    <row r="153" spans="1:4" ht="15.75" customHeight="1" x14ac:dyDescent="0.25">
      <c r="A153" s="169"/>
      <c r="B153" s="49"/>
      <c r="C153" s="50"/>
      <c r="D153" s="50"/>
    </row>
    <row r="154" spans="1:4" ht="15.75" customHeight="1" x14ac:dyDescent="0.25">
      <c r="A154" s="169"/>
      <c r="B154" s="49"/>
      <c r="C154" s="50"/>
      <c r="D154" s="50"/>
    </row>
    <row r="155" spans="1:4" ht="15.75" customHeight="1" x14ac:dyDescent="0.25">
      <c r="A155" s="169"/>
      <c r="B155" s="49"/>
      <c r="C155" s="50"/>
      <c r="D155" s="50"/>
    </row>
    <row r="156" spans="1:4" ht="15.75" customHeight="1" x14ac:dyDescent="0.25">
      <c r="A156" s="169"/>
      <c r="B156" s="49"/>
      <c r="C156" s="50"/>
      <c r="D156" s="50"/>
    </row>
    <row r="157" spans="1:4" ht="15.75" customHeight="1" x14ac:dyDescent="0.25">
      <c r="A157" s="169"/>
      <c r="B157" s="49"/>
      <c r="C157" s="50"/>
      <c r="D157" s="50"/>
    </row>
    <row r="158" spans="1:4" ht="15.75" customHeight="1" x14ac:dyDescent="0.25">
      <c r="A158" s="169"/>
      <c r="B158" s="49"/>
      <c r="C158" s="50"/>
      <c r="D158" s="50"/>
    </row>
    <row r="159" spans="1:4" ht="15.75" customHeight="1" x14ac:dyDescent="0.25">
      <c r="A159" s="169"/>
      <c r="B159" s="49"/>
      <c r="C159" s="50"/>
      <c r="D159" s="50"/>
    </row>
    <row r="160" spans="1:4" ht="15.75" customHeight="1" x14ac:dyDescent="0.25">
      <c r="A160" s="169"/>
      <c r="B160" s="49"/>
      <c r="C160" s="50"/>
      <c r="D160" s="50"/>
    </row>
    <row r="161" spans="1:4" ht="15.75" customHeight="1" x14ac:dyDescent="0.25">
      <c r="A161" s="169"/>
      <c r="B161" s="49"/>
      <c r="C161" s="50"/>
      <c r="D161" s="50"/>
    </row>
    <row r="162" spans="1:4" ht="15.75" customHeight="1" x14ac:dyDescent="0.25">
      <c r="A162" s="169"/>
      <c r="B162" s="49"/>
      <c r="C162" s="50"/>
      <c r="D162" s="50"/>
    </row>
    <row r="163" spans="1:4" ht="15.75" customHeight="1" x14ac:dyDescent="0.25">
      <c r="A163" s="169"/>
      <c r="B163" s="49"/>
      <c r="C163" s="50"/>
      <c r="D163" s="50"/>
    </row>
    <row r="164" spans="1:4" ht="15.75" customHeight="1" x14ac:dyDescent="0.25">
      <c r="A164" s="169"/>
      <c r="B164" s="49"/>
      <c r="C164" s="50"/>
      <c r="D164" s="50"/>
    </row>
    <row r="165" spans="1:4" ht="15.75" customHeight="1" x14ac:dyDescent="0.25">
      <c r="A165" s="169"/>
      <c r="B165" s="49"/>
      <c r="C165" s="50"/>
      <c r="D165" s="50"/>
    </row>
    <row r="166" spans="1:4" ht="15.75" customHeight="1" x14ac:dyDescent="0.25">
      <c r="A166" s="169"/>
      <c r="B166" s="49"/>
      <c r="C166" s="50"/>
      <c r="D166" s="50"/>
    </row>
    <row r="167" spans="1:4" ht="15.75" customHeight="1" x14ac:dyDescent="0.25">
      <c r="A167" s="169"/>
      <c r="B167" s="49"/>
      <c r="C167" s="50"/>
      <c r="D167" s="50"/>
    </row>
    <row r="168" spans="1:4" ht="15.75" customHeight="1" x14ac:dyDescent="0.25">
      <c r="A168" s="169"/>
      <c r="B168" s="49"/>
      <c r="C168" s="50"/>
      <c r="D168" s="50"/>
    </row>
    <row r="169" spans="1:4" ht="15.75" customHeight="1" x14ac:dyDescent="0.25">
      <c r="A169" s="169"/>
      <c r="B169" s="49"/>
      <c r="C169" s="50"/>
      <c r="D169" s="50"/>
    </row>
    <row r="170" spans="1:4" ht="15.75" customHeight="1" x14ac:dyDescent="0.25">
      <c r="A170" s="169"/>
      <c r="B170" s="49"/>
      <c r="C170" s="50"/>
      <c r="D170" s="50"/>
    </row>
    <row r="171" spans="1:4" ht="15.75" customHeight="1" x14ac:dyDescent="0.25">
      <c r="A171" s="169"/>
      <c r="B171" s="49"/>
      <c r="C171" s="50"/>
      <c r="D171" s="50"/>
    </row>
    <row r="172" spans="1:4" ht="15.75" customHeight="1" x14ac:dyDescent="0.25">
      <c r="A172" s="169"/>
      <c r="B172" s="49"/>
      <c r="C172" s="50"/>
      <c r="D172" s="50"/>
    </row>
    <row r="173" spans="1:4" ht="15.75" customHeight="1" x14ac:dyDescent="0.25">
      <c r="A173" s="169"/>
      <c r="B173" s="49"/>
      <c r="C173" s="50"/>
      <c r="D173" s="50"/>
    </row>
    <row r="174" spans="1:4" ht="15.75" customHeight="1" x14ac:dyDescent="0.25">
      <c r="A174" s="169"/>
      <c r="B174" s="49"/>
      <c r="C174" s="50"/>
      <c r="D174" s="50"/>
    </row>
    <row r="175" spans="1:4" ht="15.75" customHeight="1" x14ac:dyDescent="0.25">
      <c r="A175" s="169"/>
      <c r="B175" s="49"/>
      <c r="C175" s="50"/>
      <c r="D175" s="50"/>
    </row>
    <row r="176" spans="1:4" ht="15.75" customHeight="1" x14ac:dyDescent="0.25">
      <c r="A176" s="169"/>
      <c r="B176" s="49"/>
      <c r="C176" s="50"/>
      <c r="D176" s="50"/>
    </row>
    <row r="177" spans="1:4" ht="15.75" customHeight="1" x14ac:dyDescent="0.25">
      <c r="A177" s="169"/>
      <c r="B177" s="49"/>
      <c r="C177" s="50"/>
      <c r="D177" s="50"/>
    </row>
    <row r="178" spans="1:4" ht="15.75" customHeight="1" x14ac:dyDescent="0.25">
      <c r="A178" s="169"/>
      <c r="B178" s="49"/>
      <c r="C178" s="50"/>
      <c r="D178" s="50"/>
    </row>
    <row r="179" spans="1:4" ht="15.75" customHeight="1" x14ac:dyDescent="0.25">
      <c r="A179" s="169"/>
      <c r="B179" s="49"/>
      <c r="C179" s="50"/>
      <c r="D179" s="50"/>
    </row>
    <row r="180" spans="1:4" ht="15.75" customHeight="1" x14ac:dyDescent="0.25">
      <c r="A180" s="169"/>
      <c r="B180" s="49"/>
      <c r="C180" s="50"/>
      <c r="D180" s="50"/>
    </row>
    <row r="181" spans="1:4" ht="15.75" customHeight="1" x14ac:dyDescent="0.25">
      <c r="A181" s="169"/>
      <c r="B181" s="49"/>
      <c r="C181" s="50"/>
      <c r="D181" s="50"/>
    </row>
    <row r="182" spans="1:4" ht="15.75" customHeight="1" x14ac:dyDescent="0.25">
      <c r="A182" s="169"/>
      <c r="B182" s="49"/>
      <c r="C182" s="50"/>
      <c r="D182" s="50"/>
    </row>
    <row r="183" spans="1:4" ht="15.75" customHeight="1" x14ac:dyDescent="0.25">
      <c r="A183" s="169"/>
      <c r="B183" s="49"/>
      <c r="C183" s="50"/>
      <c r="D183" s="50"/>
    </row>
    <row r="184" spans="1:4" ht="15.75" customHeight="1" x14ac:dyDescent="0.25">
      <c r="A184" s="169"/>
      <c r="B184" s="49"/>
      <c r="C184" s="50"/>
      <c r="D184" s="50"/>
    </row>
    <row r="185" spans="1:4" ht="15.75" customHeight="1" x14ac:dyDescent="0.25">
      <c r="A185" s="169"/>
      <c r="B185" s="49"/>
      <c r="C185" s="50"/>
      <c r="D185" s="50"/>
    </row>
    <row r="186" spans="1:4" ht="15.75" customHeight="1" x14ac:dyDescent="0.25">
      <c r="A186" s="169"/>
      <c r="B186" s="49"/>
      <c r="C186" s="50"/>
      <c r="D186" s="50"/>
    </row>
    <row r="187" spans="1:4" ht="15.75" customHeight="1" x14ac:dyDescent="0.25">
      <c r="A187" s="169"/>
      <c r="B187" s="49"/>
      <c r="C187" s="50"/>
      <c r="D187" s="50"/>
    </row>
    <row r="188" spans="1:4" ht="15.75" customHeight="1" x14ac:dyDescent="0.25">
      <c r="A188" s="169"/>
      <c r="B188" s="49"/>
      <c r="C188" s="50"/>
      <c r="D188" s="50"/>
    </row>
    <row r="189" spans="1:4" ht="15.75" customHeight="1" x14ac:dyDescent="0.25">
      <c r="A189" s="169"/>
      <c r="B189" s="49"/>
      <c r="C189" s="50"/>
      <c r="D189" s="50"/>
    </row>
    <row r="190" spans="1:4" ht="15.75" customHeight="1" x14ac:dyDescent="0.25">
      <c r="A190" s="169"/>
      <c r="B190" s="49"/>
      <c r="C190" s="50"/>
      <c r="D190" s="50"/>
    </row>
    <row r="191" spans="1:4" ht="15.75" customHeight="1" x14ac:dyDescent="0.25">
      <c r="A191" s="169"/>
      <c r="B191" s="49"/>
      <c r="C191" s="50"/>
      <c r="D191" s="50"/>
    </row>
    <row r="192" spans="1:4" ht="15.75" customHeight="1" x14ac:dyDescent="0.25">
      <c r="A192" s="169"/>
      <c r="B192" s="49"/>
      <c r="C192" s="50"/>
      <c r="D192" s="50"/>
    </row>
    <row r="193" spans="1:4" ht="15.75" customHeight="1" x14ac:dyDescent="0.25">
      <c r="A193" s="169"/>
      <c r="B193" s="49"/>
      <c r="C193" s="50"/>
      <c r="D193" s="50"/>
    </row>
    <row r="194" spans="1:4" ht="15.75" customHeight="1" x14ac:dyDescent="0.25">
      <c r="A194" s="169"/>
      <c r="B194" s="49"/>
      <c r="C194" s="50"/>
      <c r="D194" s="50"/>
    </row>
    <row r="195" spans="1:4" ht="15.75" customHeight="1" x14ac:dyDescent="0.25">
      <c r="A195" s="169"/>
      <c r="B195" s="49"/>
      <c r="C195" s="50"/>
      <c r="D195" s="50"/>
    </row>
    <row r="196" spans="1:4" ht="15.75" customHeight="1" x14ac:dyDescent="0.25">
      <c r="A196" s="169"/>
      <c r="B196" s="49"/>
      <c r="C196" s="50"/>
      <c r="D196" s="50"/>
    </row>
    <row r="197" spans="1:4" ht="15.75" customHeight="1" x14ac:dyDescent="0.25">
      <c r="A197" s="169"/>
      <c r="B197" s="49"/>
      <c r="C197" s="50"/>
      <c r="D197" s="50"/>
    </row>
    <row r="198" spans="1:4" ht="15.75" customHeight="1" x14ac:dyDescent="0.25">
      <c r="A198" s="169"/>
      <c r="B198" s="49"/>
      <c r="C198" s="50"/>
      <c r="D198" s="50"/>
    </row>
    <row r="199" spans="1:4" ht="15.75" customHeight="1" x14ac:dyDescent="0.25">
      <c r="A199" s="169"/>
      <c r="B199" s="49"/>
      <c r="C199" s="50"/>
      <c r="D199" s="50"/>
    </row>
    <row r="200" spans="1:4" ht="15.75" customHeight="1" x14ac:dyDescent="0.25">
      <c r="A200" s="169"/>
      <c r="B200" s="49"/>
      <c r="C200" s="50"/>
      <c r="D200" s="50"/>
    </row>
    <row r="201" spans="1:4" ht="15.75" customHeight="1" x14ac:dyDescent="0.25">
      <c r="A201" s="169"/>
      <c r="B201" s="49"/>
      <c r="C201" s="50"/>
      <c r="D201" s="50"/>
    </row>
    <row r="202" spans="1:4" ht="15.75" customHeight="1" x14ac:dyDescent="0.25">
      <c r="A202" s="169"/>
      <c r="B202" s="49"/>
      <c r="C202" s="50"/>
      <c r="D202" s="50"/>
    </row>
    <row r="203" spans="1:4" ht="15.75" customHeight="1" x14ac:dyDescent="0.25">
      <c r="A203" s="169"/>
      <c r="B203" s="49"/>
      <c r="C203" s="50"/>
      <c r="D203" s="50"/>
    </row>
    <row r="204" spans="1:4" ht="15.75" customHeight="1" x14ac:dyDescent="0.25">
      <c r="A204" s="169"/>
      <c r="B204" s="49"/>
      <c r="C204" s="50"/>
      <c r="D204" s="50"/>
    </row>
    <row r="205" spans="1:4" ht="15.75" customHeight="1" x14ac:dyDescent="0.25">
      <c r="A205" s="169"/>
      <c r="B205" s="49"/>
      <c r="C205" s="50"/>
      <c r="D205" s="50"/>
    </row>
    <row r="206" spans="1:4" ht="15.75" customHeight="1" x14ac:dyDescent="0.25">
      <c r="A206" s="169"/>
      <c r="B206" s="49"/>
      <c r="C206" s="50"/>
      <c r="D206" s="50"/>
    </row>
    <row r="207" spans="1:4" ht="15.75" customHeight="1" x14ac:dyDescent="0.25">
      <c r="A207" s="169"/>
      <c r="B207" s="49"/>
      <c r="C207" s="50"/>
      <c r="D207" s="50"/>
    </row>
    <row r="208" spans="1:4" ht="15.75" customHeight="1" x14ac:dyDescent="0.25">
      <c r="A208" s="169"/>
      <c r="B208" s="49"/>
      <c r="C208" s="50"/>
      <c r="D208" s="50"/>
    </row>
    <row r="209" spans="1:8" ht="15.75" customHeight="1" x14ac:dyDescent="0.25">
      <c r="A209" s="115"/>
      <c r="B209" s="49"/>
      <c r="C209" s="49"/>
      <c r="D209" s="49"/>
    </row>
    <row r="210" spans="1:8" ht="15.75" customHeight="1" x14ac:dyDescent="0.25">
      <c r="A210" s="115"/>
      <c r="B210" s="51" t="s">
        <v>1879</v>
      </c>
      <c r="C210" s="51" t="s">
        <v>1880</v>
      </c>
      <c r="D210" s="52" t="s">
        <v>1879</v>
      </c>
      <c r="E210" s="52" t="s">
        <v>1880</v>
      </c>
    </row>
    <row r="211" spans="1:8" ht="15.75" customHeight="1" x14ac:dyDescent="0.35">
      <c r="A211" s="115"/>
      <c r="B211" s="53" t="s">
        <v>1881</v>
      </c>
      <c r="C211" s="53" t="s">
        <v>1882</v>
      </c>
      <c r="D211" s="52" t="s">
        <v>1881</v>
      </c>
      <c r="F211" s="52" t="str">
        <f t="shared" ref="F211:F222" si="0">IF(NOT(ISBLANK(D211)),D211,IF(NOT(ISBLANK(E211)),"     "&amp;E211,FALSE))</f>
        <v>Afectación Económica o presupuestal</v>
      </c>
      <c r="G211" s="52" t="s">
        <v>1881</v>
      </c>
      <c r="H211" s="52" t="str">
        <f ca="1">IF(NOT(ISERROR(MATCH(G211,ANCHORARRAY(B222),0))),F224&amp;"Por favor no seleccionar los criterios de impacto",G211)</f>
        <v>Afectación Económica o presupuestal</v>
      </c>
    </row>
    <row r="212" spans="1:8" ht="15.75" customHeight="1" x14ac:dyDescent="0.35">
      <c r="A212" s="115"/>
      <c r="B212" s="53" t="s">
        <v>1881</v>
      </c>
      <c r="C212" s="53" t="s">
        <v>1868</v>
      </c>
      <c r="E212" s="52" t="s">
        <v>1882</v>
      </c>
      <c r="F212" s="52" t="str">
        <f t="shared" si="0"/>
        <v xml:space="preserve">     Afectación menor a 10 SMLMV .</v>
      </c>
    </row>
    <row r="213" spans="1:8" ht="15.75" customHeight="1" x14ac:dyDescent="0.35">
      <c r="A213" s="115"/>
      <c r="B213" s="53" t="s">
        <v>1881</v>
      </c>
      <c r="C213" s="53" t="s">
        <v>1871</v>
      </c>
      <c r="E213" s="52" t="s">
        <v>1868</v>
      </c>
      <c r="F213" s="52" t="str">
        <f t="shared" si="0"/>
        <v xml:space="preserve">     Entre 10 y 50 SMLMV </v>
      </c>
    </row>
    <row r="214" spans="1:8" ht="15.75" customHeight="1" x14ac:dyDescent="0.35">
      <c r="A214" s="115"/>
      <c r="B214" s="53" t="s">
        <v>1881</v>
      </c>
      <c r="C214" s="53" t="s">
        <v>1873</v>
      </c>
      <c r="E214" s="52" t="s">
        <v>1871</v>
      </c>
      <c r="F214" s="52" t="str">
        <f t="shared" si="0"/>
        <v xml:space="preserve">     Entre 50 y 100 SMLMV </v>
      </c>
    </row>
    <row r="215" spans="1:8" ht="15.75" customHeight="1" x14ac:dyDescent="0.35">
      <c r="A215" s="115"/>
      <c r="B215" s="53" t="s">
        <v>1881</v>
      </c>
      <c r="C215" s="53" t="s">
        <v>1876</v>
      </c>
      <c r="E215" s="52" t="s">
        <v>1873</v>
      </c>
      <c r="F215" s="52" t="str">
        <f t="shared" si="0"/>
        <v xml:space="preserve">     Entre 100 y 500 SMLMV </v>
      </c>
    </row>
    <row r="216" spans="1:8" ht="15.75" customHeight="1" x14ac:dyDescent="0.35">
      <c r="A216" s="115"/>
      <c r="B216" s="53" t="s">
        <v>1863</v>
      </c>
      <c r="C216" s="53" t="s">
        <v>1866</v>
      </c>
      <c r="E216" s="52" t="s">
        <v>1876</v>
      </c>
      <c r="F216" s="52" t="str">
        <f t="shared" si="0"/>
        <v xml:space="preserve">     Mayor a 500 SMLMV </v>
      </c>
    </row>
    <row r="217" spans="1:8" ht="15.75" customHeight="1" x14ac:dyDescent="0.35">
      <c r="A217" s="115"/>
      <c r="B217" s="53" t="s">
        <v>1863</v>
      </c>
      <c r="C217" s="53" t="s">
        <v>1883</v>
      </c>
      <c r="D217" s="52" t="s">
        <v>1863</v>
      </c>
      <c r="F217" s="52" t="str">
        <f t="shared" si="0"/>
        <v>Pérdida Reputacional</v>
      </c>
    </row>
    <row r="218" spans="1:8" ht="15.75" customHeight="1" x14ac:dyDescent="0.35">
      <c r="A218" s="115"/>
      <c r="B218" s="53" t="s">
        <v>1863</v>
      </c>
      <c r="C218" s="53" t="s">
        <v>184</v>
      </c>
      <c r="E218" s="52" t="s">
        <v>1866</v>
      </c>
      <c r="F218" s="52" t="str">
        <f t="shared" si="0"/>
        <v xml:space="preserve">     El riesgo afecta la imagen de alguna área de la organización</v>
      </c>
    </row>
    <row r="219" spans="1:8" ht="15.75" customHeight="1" x14ac:dyDescent="0.35">
      <c r="A219" s="115"/>
      <c r="B219" s="53" t="s">
        <v>1863</v>
      </c>
      <c r="C219" s="53" t="s">
        <v>1874</v>
      </c>
      <c r="E219" s="52" t="s">
        <v>1883</v>
      </c>
      <c r="F219" s="52" t="str">
        <f t="shared" si="0"/>
        <v xml:space="preserve">     El riesgo afecta la imagen de la entidad internamente, de conocimiento general, nivel interno, de junta dircetiva y accionistas y/o de provedores</v>
      </c>
    </row>
    <row r="220" spans="1:8" ht="15.75" customHeight="1" x14ac:dyDescent="0.35">
      <c r="A220" s="115"/>
      <c r="B220" s="53" t="s">
        <v>1863</v>
      </c>
      <c r="C220" s="53" t="s">
        <v>501</v>
      </c>
      <c r="E220" s="52" t="s">
        <v>184</v>
      </c>
      <c r="F220" s="52" t="str">
        <f t="shared" si="0"/>
        <v xml:space="preserve">     El riesgo afecta la imagen de la entidad con algunos usuarios de relevancia frente al logro de los objetivos</v>
      </c>
    </row>
    <row r="221" spans="1:8" ht="15.75" customHeight="1" x14ac:dyDescent="0.25">
      <c r="A221" s="115"/>
      <c r="B221" s="54"/>
      <c r="C221" s="54"/>
      <c r="E221" s="52" t="s">
        <v>1874</v>
      </c>
      <c r="F221" s="52" t="str">
        <f t="shared" si="0"/>
        <v xml:space="preserve">     El riesgo afecta la imagen de de la entidad con efecto publicitario sostenido a nivel de sector administrativo, nivel departamental o municipal</v>
      </c>
    </row>
    <row r="222" spans="1:8" ht="15.75" customHeight="1" x14ac:dyDescent="0.25">
      <c r="A222" s="115"/>
      <c r="B222" s="54" cm="1">
        <f t="array" ref="B222:B224">_xlfn.TAKE((_xlfn.UNIQUE('Tabla Impacto'!$B$209:$B$219)), 3, 1)</f>
        <v>0</v>
      </c>
      <c r="C222" s="54"/>
      <c r="E222" s="52" t="s">
        <v>501</v>
      </c>
      <c r="F222" s="52" t="str">
        <f t="shared" si="0"/>
        <v xml:space="preserve">     El riesgo afecta la imagen de la entidad a nivel nacional, con efecto publicitarios sostenible a nivel país</v>
      </c>
    </row>
    <row r="223" spans="1:8" ht="15.75" customHeight="1" x14ac:dyDescent="0.25">
      <c r="A223" s="115"/>
      <c r="B223" s="54" t="str">
        <v>Criterios</v>
      </c>
      <c r="C223" s="54"/>
    </row>
    <row r="224" spans="1:8" ht="15.75" customHeight="1" x14ac:dyDescent="0.25">
      <c r="B224" s="54" t="str">
        <v>Afectación Económica o presupuestal</v>
      </c>
      <c r="C224" s="54"/>
      <c r="F224" s="55" t="s">
        <v>1884</v>
      </c>
    </row>
    <row r="225" spans="2:6" ht="15.75" customHeight="1" x14ac:dyDescent="0.25">
      <c r="B225" s="52"/>
      <c r="C225" s="52"/>
      <c r="F225" s="55" t="s">
        <v>1885</v>
      </c>
    </row>
    <row r="226" spans="2:6" ht="15.75" customHeight="1" x14ac:dyDescent="0.25">
      <c r="B226" s="52"/>
      <c r="C226" s="52"/>
    </row>
    <row r="227" spans="2:6" ht="15.75" customHeight="1" x14ac:dyDescent="0.25">
      <c r="B227" s="52"/>
      <c r="C227" s="52"/>
    </row>
    <row r="228" spans="2:6" ht="15.75" customHeight="1" x14ac:dyDescent="0.25">
      <c r="B228" s="52"/>
      <c r="C228" s="52"/>
      <c r="D228" s="52"/>
    </row>
    <row r="229" spans="2:6" ht="15.75" customHeight="1" x14ac:dyDescent="0.25">
      <c r="B229" s="52"/>
      <c r="C229" s="52"/>
      <c r="D229" s="52"/>
    </row>
    <row r="230" spans="2:6" ht="15.75" customHeight="1" x14ac:dyDescent="0.25">
      <c r="B230" s="52"/>
      <c r="C230" s="52"/>
      <c r="D230" s="52"/>
    </row>
    <row r="231" spans="2:6" ht="15.75" customHeight="1" x14ac:dyDescent="0.25">
      <c r="B231" s="52"/>
      <c r="C231" s="52"/>
      <c r="D231" s="52"/>
    </row>
    <row r="232" spans="2:6" ht="15.75" customHeight="1" x14ac:dyDescent="0.25">
      <c r="B232" s="52"/>
      <c r="C232" s="52"/>
      <c r="D232" s="52"/>
    </row>
    <row r="233" spans="2:6" ht="15.75" customHeight="1" x14ac:dyDescent="0.25">
      <c r="B233" s="52"/>
      <c r="C233" s="52"/>
      <c r="D233" s="52"/>
    </row>
    <row r="234" spans="2:6" ht="15.75" customHeight="1" x14ac:dyDescent="0.2"/>
    <row r="235" spans="2:6" ht="15.75" customHeight="1" x14ac:dyDescent="0.2"/>
    <row r="236" spans="2:6" ht="15.75" customHeight="1" x14ac:dyDescent="0.2"/>
    <row r="237" spans="2:6" ht="15.75" customHeight="1" x14ac:dyDescent="0.2"/>
    <row r="238" spans="2:6" ht="15.75" customHeight="1" x14ac:dyDescent="0.2"/>
    <row r="239" spans="2:6" ht="15.75" customHeight="1" x14ac:dyDescent="0.2"/>
    <row r="240" spans="2:6"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1">
    <mergeCell ref="B2:D2"/>
  </mergeCells>
  <dataValidations count="1">
    <dataValidation type="list" allowBlank="1" showErrorMessage="1" sqref="G211" xr:uid="{00000000-0002-0000-0500-000000000000}">
      <formula1>$F$211:$F$222</formula1>
    </dataValidation>
  </dataValidations>
  <pageMargins left="0.70866141732283472" right="0.70866141732283472" top="0.74803149606299213" bottom="0.74803149606299213" header="0" footer="0"/>
  <pageSetup scale="36" orientation="portrait" r:id="rId1"/>
  <headerFooter>
    <oddHeader>&amp;L&amp;G&amp;C
MATRIZ DE RIESGOS</oddHeader>
    <oddFooter>&amp;RCódigo:E-02-F-014
Versión: 5
Fecha: Ver Isolución</oddFooter>
  </headerFooter>
  <colBreaks count="1" manualBreakCount="1">
    <brk id="4" min="1" max="224" man="1"/>
  </colBreaks>
  <legacyDrawingHF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BI1000"/>
  <sheetViews>
    <sheetView showGridLines="0" zoomScale="40" zoomScaleNormal="40" workbookViewId="0">
      <selection activeCell="AY52" sqref="AY52"/>
    </sheetView>
  </sheetViews>
  <sheetFormatPr baseColWidth="10" defaultColWidth="12.625" defaultRowHeight="15" customHeight="1" x14ac:dyDescent="0.2"/>
  <cols>
    <col min="1" max="1" width="9.375" customWidth="1"/>
    <col min="2" max="18" width="5" customWidth="1"/>
    <col min="19" max="19" width="7.375" customWidth="1"/>
    <col min="20" max="23" width="5" customWidth="1"/>
    <col min="24" max="24" width="7.5" customWidth="1"/>
    <col min="25" max="26" width="5" customWidth="1"/>
    <col min="27" max="27" width="9.375" customWidth="1"/>
    <col min="28" max="28" width="5" customWidth="1"/>
    <col min="29" max="29" width="6.5" customWidth="1"/>
    <col min="30" max="33" width="5" customWidth="1"/>
    <col min="34" max="34" width="7.5" customWidth="1"/>
    <col min="35" max="39" width="5" customWidth="1"/>
    <col min="40" max="40" width="9.375" customWidth="1"/>
    <col min="41" max="46" width="5" customWidth="1"/>
    <col min="47" max="61" width="9.375" customWidth="1"/>
  </cols>
  <sheetData>
    <row r="1" spans="1:61" x14ac:dyDescent="0.25">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row>
    <row r="2" spans="1:61" ht="18" customHeight="1" x14ac:dyDescent="0.25">
      <c r="A2" s="115"/>
      <c r="B2" s="692" t="s">
        <v>17</v>
      </c>
      <c r="C2" s="670"/>
      <c r="D2" s="670"/>
      <c r="E2" s="670"/>
      <c r="F2" s="670"/>
      <c r="G2" s="670"/>
      <c r="H2" s="670"/>
      <c r="I2" s="670"/>
      <c r="J2" s="677" t="s">
        <v>1</v>
      </c>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4"/>
      <c r="AN2" s="115"/>
      <c r="AO2" s="115"/>
      <c r="AP2" s="115"/>
      <c r="AQ2" s="115"/>
      <c r="AR2" s="115"/>
      <c r="AS2" s="115"/>
      <c r="AT2" s="115"/>
      <c r="AU2" s="115"/>
      <c r="AV2" s="115"/>
      <c r="AW2" s="115"/>
      <c r="AX2" s="115"/>
      <c r="AY2" s="115"/>
      <c r="AZ2" s="115"/>
      <c r="BA2" s="115"/>
      <c r="BB2" s="115"/>
      <c r="BC2" s="115"/>
      <c r="BD2" s="115"/>
      <c r="BE2" s="115"/>
      <c r="BF2" s="115"/>
      <c r="BG2" s="115"/>
      <c r="BH2" s="115"/>
      <c r="BI2" s="115"/>
    </row>
    <row r="3" spans="1:61" ht="18.75" customHeight="1" x14ac:dyDescent="0.25">
      <c r="A3" s="115"/>
      <c r="B3" s="670"/>
      <c r="C3" s="670"/>
      <c r="D3" s="670"/>
      <c r="E3" s="670"/>
      <c r="F3" s="670"/>
      <c r="G3" s="670"/>
      <c r="H3" s="670"/>
      <c r="I3" s="670"/>
      <c r="J3" s="654"/>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54"/>
      <c r="AN3" s="115"/>
      <c r="AO3" s="115"/>
      <c r="AP3" s="115"/>
      <c r="AQ3" s="115"/>
      <c r="AR3" s="115"/>
      <c r="AS3" s="115"/>
      <c r="AT3" s="115"/>
      <c r="AU3" s="115"/>
      <c r="AV3" s="115"/>
      <c r="AW3" s="115"/>
      <c r="AX3" s="115"/>
      <c r="AY3" s="115"/>
      <c r="AZ3" s="115"/>
      <c r="BA3" s="115"/>
      <c r="BB3" s="115"/>
      <c r="BC3" s="115"/>
      <c r="BD3" s="115"/>
      <c r="BE3" s="115"/>
      <c r="BF3" s="115"/>
      <c r="BG3" s="115"/>
      <c r="BH3" s="115"/>
      <c r="BI3" s="115"/>
    </row>
    <row r="4" spans="1:61" ht="15" customHeight="1" x14ac:dyDescent="0.25">
      <c r="A4" s="115"/>
      <c r="B4" s="670"/>
      <c r="C4" s="670"/>
      <c r="D4" s="670"/>
      <c r="E4" s="670"/>
      <c r="F4" s="670"/>
      <c r="G4" s="670"/>
      <c r="H4" s="670"/>
      <c r="I4" s="670"/>
      <c r="J4" s="654"/>
      <c r="K4" s="654"/>
      <c r="L4" s="654"/>
      <c r="M4" s="654"/>
      <c r="N4" s="654"/>
      <c r="O4" s="654"/>
      <c r="P4" s="654"/>
      <c r="Q4" s="654"/>
      <c r="R4" s="654"/>
      <c r="S4" s="654"/>
      <c r="T4" s="654"/>
      <c r="U4" s="654"/>
      <c r="V4" s="654"/>
      <c r="W4" s="654"/>
      <c r="X4" s="654"/>
      <c r="Y4" s="654"/>
      <c r="Z4" s="654"/>
      <c r="AA4" s="654"/>
      <c r="AB4" s="654"/>
      <c r="AC4" s="654"/>
      <c r="AD4" s="654"/>
      <c r="AE4" s="654"/>
      <c r="AF4" s="654"/>
      <c r="AG4" s="654"/>
      <c r="AH4" s="654"/>
      <c r="AI4" s="654"/>
      <c r="AJ4" s="654"/>
      <c r="AK4" s="654"/>
      <c r="AL4" s="654"/>
      <c r="AM4" s="654"/>
      <c r="AN4" s="115"/>
      <c r="AO4" s="115"/>
      <c r="AP4" s="115"/>
      <c r="AQ4" s="115"/>
      <c r="AR4" s="115"/>
      <c r="AS4" s="115"/>
      <c r="AT4" s="115"/>
      <c r="AU4" s="115"/>
      <c r="AV4" s="115"/>
      <c r="AW4" s="115"/>
      <c r="AX4" s="115"/>
      <c r="AY4" s="115"/>
      <c r="AZ4" s="115"/>
      <c r="BA4" s="115"/>
      <c r="BB4" s="115"/>
      <c r="BC4" s="115"/>
      <c r="BD4" s="115"/>
      <c r="BE4" s="115"/>
      <c r="BF4" s="115"/>
      <c r="BG4" s="115"/>
      <c r="BH4" s="115"/>
      <c r="BI4" s="115"/>
    </row>
    <row r="5" spans="1:61" x14ac:dyDescent="0.25">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row>
    <row r="6" spans="1:61" ht="15" customHeight="1" x14ac:dyDescent="0.25">
      <c r="A6" s="115"/>
      <c r="B6" s="678" t="s">
        <v>2</v>
      </c>
      <c r="C6" s="654"/>
      <c r="D6" s="653"/>
      <c r="E6" s="693" t="s">
        <v>3</v>
      </c>
      <c r="F6" s="656"/>
      <c r="G6" s="656"/>
      <c r="H6" s="656"/>
      <c r="I6" s="657"/>
      <c r="J6" s="19" t="str">
        <f>IF(AND('Matriz riesgos de gestión'!$AD$4="Muy Alta",'Matriz riesgos de gestión'!$AF$4="Leve"),CONCATENATE("R1C",'Matriz riesgos de gestión'!$T$4),"")</f>
        <v/>
      </c>
      <c r="K6" s="20" t="str">
        <f>IF(AND('Matriz riesgos de gestión'!$AD$5="Muy Alta",'Matriz riesgos de gestión'!$AF$5="Leve"),CONCATENATE("R1C",'Matriz riesgos de gestión'!$T$5),"")</f>
        <v/>
      </c>
      <c r="L6" s="20" t="str">
        <f>IF(AND('Matriz riesgos de gestión'!$AD$6="Muy Alta",'Matriz riesgos de gestión'!$AF$6="Leve"),CONCATENATE("R1C",'Matriz riesgos de gestión'!$T$6),"")</f>
        <v/>
      </c>
      <c r="M6" s="20" t="str">
        <f>IF(AND('Matriz riesgos de gestión'!$AD$7="Muy Alta",'Matriz riesgos de gestión'!$AF$7="Leve"),CONCATENATE("R1C",'Matriz riesgos de gestión'!$T$7),"")</f>
        <v/>
      </c>
      <c r="N6" s="20" t="str">
        <f>IF(AND('Matriz riesgos de gestión'!$AD$8="Muy Alta",'Matriz riesgos de gestión'!$AF$8="Leve"),CONCATENATE("R1C",'Matriz riesgos de gestión'!$T$8),"")</f>
        <v/>
      </c>
      <c r="O6" s="21" t="str">
        <f>IF(AND('Matriz riesgos de gestión'!$AD$9="Muy Alta",'Matriz riesgos de gestión'!$AF$9="Leve"),CONCATENATE("R1C",'Matriz riesgos de gestión'!$T$9),"")</f>
        <v/>
      </c>
      <c r="P6" s="19" t="str">
        <f>IF(AND('Matriz riesgos de gestión'!$AD$4="Muy Alta",'Matriz riesgos de gestión'!$AF$4="Menor"),CONCATENATE("R1C",'Matriz riesgos de gestión'!$T$4),"")</f>
        <v/>
      </c>
      <c r="Q6" s="20" t="str">
        <f>IF(AND('Matriz riesgos de gestión'!$AD$5="Muy Alta",'Matriz riesgos de gestión'!$AF$5="Menor"),CONCATENATE("R1C",'Matriz riesgos de gestión'!$T$5),"")</f>
        <v/>
      </c>
      <c r="R6" s="20" t="str">
        <f>IF(AND('Matriz riesgos de gestión'!$AD$6="Muy Alta",'Matriz riesgos de gestión'!$AF$6="Menor"),CONCATENATE("R1C",'Matriz riesgos de gestión'!$T$6),"")</f>
        <v/>
      </c>
      <c r="S6" s="20" t="str">
        <f>IF(AND('Matriz riesgos de gestión'!$AD$7="Muy Alta",'Matriz riesgos de gestión'!$AF$7="Menor"),CONCATENATE("R1C",'Matriz riesgos de gestión'!$T$7),"")</f>
        <v/>
      </c>
      <c r="T6" s="20" t="str">
        <f>IF(AND('Matriz riesgos de gestión'!$AD$8="Muy Alta",'Matriz riesgos de gestión'!$AF$8="Menor"),CONCATENATE("R1C",'Matriz riesgos de gestión'!$T$8),"")</f>
        <v/>
      </c>
      <c r="U6" s="21" t="str">
        <f>IF(AND('Matriz riesgos de gestión'!$AD$9="Muy Alta",'Matriz riesgos de gestión'!$AF$9="Menor"),CONCATENATE("R1C",'Matriz riesgos de gestión'!$T$9),"")</f>
        <v/>
      </c>
      <c r="V6" s="19" t="str">
        <f>IF(AND('Matriz riesgos de gestión'!$AD$4="Muy Alta",'Matriz riesgos de gestión'!$AF$4="Moderado"),CONCATENATE("R1C",'Matriz riesgos de gestión'!$T$4),"")</f>
        <v/>
      </c>
      <c r="W6" s="20" t="str">
        <f>IF(AND('Matriz riesgos de gestión'!$AD$5="Muy Alta",'Matriz riesgos de gestión'!$AF$5="Moderado"),CONCATENATE("R1C",'Matriz riesgos de gestión'!$T$5),"")</f>
        <v/>
      </c>
      <c r="X6" s="20" t="str">
        <f>IF(AND('Matriz riesgos de gestión'!$AD$6="Muy Alta",'Matriz riesgos de gestión'!$AF$6="Moderado"),CONCATENATE("R1C",'Matriz riesgos de gestión'!$T$6),"")</f>
        <v/>
      </c>
      <c r="Y6" s="20" t="str">
        <f>IF(AND('Matriz riesgos de gestión'!$AD$7="Muy Alta",'Matriz riesgos de gestión'!$AF$7="Moderado"),CONCATENATE("R1C",'Matriz riesgos de gestión'!$T$7),"")</f>
        <v/>
      </c>
      <c r="Z6" s="20" t="str">
        <f>IF(AND('Matriz riesgos de gestión'!$AD$8="Muy Alta",'Matriz riesgos de gestión'!$AF$8="Moderado"),CONCATENATE("R1C",'Matriz riesgos de gestión'!$T$8),"")</f>
        <v/>
      </c>
      <c r="AA6" s="21" t="str">
        <f>IF(AND('Matriz riesgos de gestión'!$AD$9="Muy Alta",'Matriz riesgos de gestión'!$AF$9="Moderado"),CONCATENATE("R1C",'Matriz riesgos de gestión'!$T$9),"")</f>
        <v/>
      </c>
      <c r="AB6" s="19" t="str">
        <f>IF(AND('Matriz riesgos de gestión'!$AD$4="Muy Alta",'Matriz riesgos de gestión'!$AF$4="Mayor"),CONCATENATE("R1C",'Matriz riesgos de gestión'!$T$4),"")</f>
        <v/>
      </c>
      <c r="AC6" s="20" t="str">
        <f>IF(AND('Matriz riesgos de gestión'!$AD$5="Muy Alta",'Matriz riesgos de gestión'!$AF$5="Mayor"),CONCATENATE("R1C",'Matriz riesgos de gestión'!$T$5),"")</f>
        <v/>
      </c>
      <c r="AD6" s="20" t="str">
        <f>IF(AND('Matriz riesgos de gestión'!$AD$6="Muy Alta",'Matriz riesgos de gestión'!$AF$6="Mayor"),CONCATENATE("R1C",'Matriz riesgos de gestión'!$T$6),"")</f>
        <v/>
      </c>
      <c r="AE6" s="20" t="str">
        <f>IF(AND('Matriz riesgos de gestión'!$AD$7="Muy Alta",'Matriz riesgos de gestión'!$AF$7="Mayor"),CONCATENATE("R1C",'Matriz riesgos de gestión'!$T$7),"")</f>
        <v/>
      </c>
      <c r="AF6" s="20" t="str">
        <f>IF(AND('Matriz riesgos de gestión'!$AD$8="Muy Alta",'Matriz riesgos de gestión'!$AF$8="Mayor"),CONCATENATE("R1C",'Matriz riesgos de gestión'!$T$8),"")</f>
        <v/>
      </c>
      <c r="AG6" s="21" t="str">
        <f>IF(AND('Matriz riesgos de gestión'!$AD$9="Muy Alta",'Matriz riesgos de gestión'!$AF$9="Mayor"),CONCATENATE("R1C",'Matriz riesgos de gestión'!$T$9),"")</f>
        <v/>
      </c>
      <c r="AH6" s="22" t="str">
        <f>IF(AND('Matriz riesgos de gestión'!$AD$4="Muy Alta",'Matriz riesgos de gestión'!$AF$4="Catastrófico"),CONCATENATE("R1C",'Matriz riesgos de gestión'!$T$4),"")</f>
        <v/>
      </c>
      <c r="AI6" s="23" t="str">
        <f>IF(AND('Matriz riesgos de gestión'!$AD$5="Muy Alta",'Matriz riesgos de gestión'!$AF$5="Catastrófico"),CONCATENATE("R1C",'Matriz riesgos de gestión'!$T$5),"")</f>
        <v/>
      </c>
      <c r="AJ6" s="23" t="str">
        <f>IF(AND('Matriz riesgos de gestión'!$AD$6="Muy Alta",'Matriz riesgos de gestión'!$AF$6="Catastrófico"),CONCATENATE("R1C",'Matriz riesgos de gestión'!$T$6),"")</f>
        <v/>
      </c>
      <c r="AK6" s="23" t="str">
        <f>IF(AND('Matriz riesgos de gestión'!$AD$7="Muy Alta",'Matriz riesgos de gestión'!$AF$7="Catastrófico"),CONCATENATE("R1C",'Matriz riesgos de gestión'!$T$7),"")</f>
        <v/>
      </c>
      <c r="AL6" s="23" t="str">
        <f>IF(AND('Matriz riesgos de gestión'!$AD$8="Muy Alta",'Matriz riesgos de gestión'!$AF$8="Catastrófico"),CONCATENATE("R1C",'Matriz riesgos de gestión'!$T$8),"")</f>
        <v/>
      </c>
      <c r="AM6" s="24" t="str">
        <f>IF(AND('Matriz riesgos de gestión'!$AD$9="Muy Alta",'Matriz riesgos de gestión'!$AF$9="Catastrófico"),CONCATENATE("R1C",'Matriz riesgos de gestión'!$T$9),"")</f>
        <v/>
      </c>
      <c r="AN6" s="115"/>
      <c r="AO6" s="696" t="s">
        <v>4</v>
      </c>
      <c r="AP6" s="682"/>
      <c r="AQ6" s="682"/>
      <c r="AR6" s="682"/>
      <c r="AS6" s="682"/>
      <c r="AT6" s="683"/>
      <c r="AU6" s="115"/>
      <c r="AV6" s="115"/>
      <c r="AW6" s="115"/>
      <c r="AX6" s="115"/>
      <c r="AY6" s="115"/>
      <c r="AZ6" s="115"/>
      <c r="BA6" s="115"/>
      <c r="BB6" s="115"/>
      <c r="BC6" s="115"/>
      <c r="BD6" s="115"/>
      <c r="BE6" s="115"/>
      <c r="BF6" s="115"/>
      <c r="BG6" s="115"/>
      <c r="BH6" s="115"/>
      <c r="BI6" s="115"/>
    </row>
    <row r="7" spans="1:61" ht="15" customHeight="1" x14ac:dyDescent="0.25">
      <c r="A7" s="115"/>
      <c r="B7" s="654"/>
      <c r="C7" s="670"/>
      <c r="D7" s="653"/>
      <c r="E7" s="659"/>
      <c r="F7" s="670"/>
      <c r="G7" s="670"/>
      <c r="H7" s="670"/>
      <c r="I7" s="653"/>
      <c r="J7" s="142" t="str">
        <f>IF(AND('Matriz riesgos de gestión'!$AD$15="Muy Alta",'Matriz riesgos de gestión'!$AF$15="Leve"),CONCATENATE("R2C",'Matriz riesgos de gestión'!$T$15),"")</f>
        <v/>
      </c>
      <c r="K7" s="143" t="str">
        <f>IF(AND('Matriz riesgos de gestión'!$AD$16="Muy Alta",'Matriz riesgos de gestión'!$AF$16="Leve"),CONCATENATE("R2C",'Matriz riesgos de gestión'!$T$16),"")</f>
        <v/>
      </c>
      <c r="L7" s="143" t="str">
        <f>IF(AND('Matriz riesgos de gestión'!$AD$17="Muy Alta",'Matriz riesgos de gestión'!$AF$17="Leve"),CONCATENATE("R2C",'Matriz riesgos de gestión'!$T$17),"")</f>
        <v/>
      </c>
      <c r="M7" s="143" t="str">
        <f>IF(AND('Matriz riesgos de gestión'!$AD$22="Muy Alta",'Matriz riesgos de gestión'!$AF$22="Leve"),CONCATENATE("R2C",'Matriz riesgos de gestión'!$T$22),"")</f>
        <v/>
      </c>
      <c r="N7" s="143" t="str">
        <f>IF(AND('Matriz riesgos de gestión'!$AD$23="Muy Alta",'Matriz riesgos de gestión'!$AF$23="Leve"),CONCATENATE("R2C",'Matriz riesgos de gestión'!$T$23),"")</f>
        <v/>
      </c>
      <c r="O7" s="144" t="str">
        <f>IF(AND('Matriz riesgos de gestión'!$AD$24="Muy Alta",'Matriz riesgos de gestión'!$AF$24="Leve"),CONCATENATE("R2C",'Matriz riesgos de gestión'!$T$24),"")</f>
        <v/>
      </c>
      <c r="P7" s="142" t="str">
        <f>IF(AND('Matriz riesgos de gestión'!$AD$15="Muy Alta",'Matriz riesgos de gestión'!$AF$15="Menor"),CONCATENATE("R2C",'Matriz riesgos de gestión'!$T$15),"")</f>
        <v/>
      </c>
      <c r="Q7" s="143" t="str">
        <f>IF(AND('Matriz riesgos de gestión'!$AD$16="Muy Alta",'Matriz riesgos de gestión'!$AF$16="Menor"),CONCATENATE("R2C",'Matriz riesgos de gestión'!$T$16),"")</f>
        <v/>
      </c>
      <c r="R7" s="143" t="str">
        <f>IF(AND('Matriz riesgos de gestión'!$AD$17="Muy Alta",'Matriz riesgos de gestión'!$AF$17="Menor"),CONCATENATE("R2C",'Matriz riesgos de gestión'!$T$17),"")</f>
        <v/>
      </c>
      <c r="S7" s="143" t="str">
        <f>IF(AND('Matriz riesgos de gestión'!$AD$22="Muy Alta",'Matriz riesgos de gestión'!$AF$22="Menor"),CONCATENATE("R2C",'Matriz riesgos de gestión'!$T$22),"")</f>
        <v/>
      </c>
      <c r="T7" s="143" t="str">
        <f>IF(AND('Matriz riesgos de gestión'!$AD$23="Muy Alta",'Matriz riesgos de gestión'!$AF$23="Menor"),CONCATENATE("R2C",'Matriz riesgos de gestión'!$T$23),"")</f>
        <v/>
      </c>
      <c r="U7" s="144" t="str">
        <f>IF(AND('Matriz riesgos de gestión'!$AD$24="Muy Alta",'Matriz riesgos de gestión'!$AF$24="Menor"),CONCATENATE("R2C",'Matriz riesgos de gestión'!$T$24),"")</f>
        <v/>
      </c>
      <c r="V7" s="142" t="str">
        <f>IF(AND('Matriz riesgos de gestión'!$AD$15="Muy Alta",'Matriz riesgos de gestión'!$AF$15="Moderado"),CONCATENATE("R2C",'Matriz riesgos de gestión'!$T$15),"")</f>
        <v/>
      </c>
      <c r="W7" s="143" t="str">
        <f>IF(AND('Matriz riesgos de gestión'!$AD$16="Muy Alta",'Matriz riesgos de gestión'!$AF$16="Moderado"),CONCATENATE("R2C",'Matriz riesgos de gestión'!$T$16),"")</f>
        <v/>
      </c>
      <c r="X7" s="143" t="str">
        <f>IF(AND('Matriz riesgos de gestión'!$AD$17="Muy Alta",'Matriz riesgos de gestión'!$AF$17="Moderado"),CONCATENATE("R2C",'Matriz riesgos de gestión'!$T$17),"")</f>
        <v/>
      </c>
      <c r="Y7" s="143" t="str">
        <f>IF(AND('Matriz riesgos de gestión'!$AD$22="Muy Alta",'Matriz riesgos de gestión'!$AF$22="Moderado"),CONCATENATE("R2C",'Matriz riesgos de gestión'!$T$22),"")</f>
        <v/>
      </c>
      <c r="Z7" s="143" t="str">
        <f>IF(AND('Matriz riesgos de gestión'!$AD$23="Muy Alta",'Matriz riesgos de gestión'!$AF$23="Moderado"),CONCATENATE("R2C",'Matriz riesgos de gestión'!$T$23),"")</f>
        <v/>
      </c>
      <c r="AA7" s="144" t="str">
        <f>IF(AND('Matriz riesgos de gestión'!$AD$24="Muy Alta",'Matriz riesgos de gestión'!$AF$24="Moderado"),CONCATENATE("R2C",'Matriz riesgos de gestión'!$T$24),"")</f>
        <v/>
      </c>
      <c r="AB7" s="142" t="str">
        <f>IF(AND('Matriz riesgos de gestión'!$AD$15="Muy Alta",'Matriz riesgos de gestión'!$AF$15="Mayor"),CONCATENATE("R2C",'Matriz riesgos de gestión'!$T$15),"")</f>
        <v/>
      </c>
      <c r="AC7" s="143" t="str">
        <f>IF(AND('Matriz riesgos de gestión'!$AD$16="Muy Alta",'Matriz riesgos de gestión'!$AF$16="Mayor"),CONCATENATE("R2C",'Matriz riesgos de gestión'!$T$16),"")</f>
        <v/>
      </c>
      <c r="AD7" s="143" t="str">
        <f>IF(AND('Matriz riesgos de gestión'!$AD$17="Muy Alta",'Matriz riesgos de gestión'!$AF$17="Mayor"),CONCATENATE("R2C",'Matriz riesgos de gestión'!$T$17),"")</f>
        <v/>
      </c>
      <c r="AE7" s="143" t="str">
        <f>IF(AND('Matriz riesgos de gestión'!$AD$22="Muy Alta",'Matriz riesgos de gestión'!$AF$22="Mayor"),CONCATENATE("R2C",'Matriz riesgos de gestión'!$T$22),"")</f>
        <v/>
      </c>
      <c r="AF7" s="143" t="str">
        <f>IF(AND('Matriz riesgos de gestión'!$AD$23="Muy Alta",'Matriz riesgos de gestión'!$AF$23="Mayor"),CONCATENATE("R2C",'Matriz riesgos de gestión'!$T$23),"")</f>
        <v/>
      </c>
      <c r="AG7" s="144" t="str">
        <f>IF(AND('Matriz riesgos de gestión'!$AD$24="Muy Alta",'Matriz riesgos de gestión'!$AF$24="Mayor"),CONCATENATE("R2C",'Matriz riesgos de gestión'!$T$24),"")</f>
        <v/>
      </c>
      <c r="AH7" s="145" t="str">
        <f>IF(AND('Matriz riesgos de gestión'!$AD$15="Muy Alta",'Matriz riesgos de gestión'!$AF$15="Catastrófico"),CONCATENATE("R2C",'Matriz riesgos de gestión'!$T$15),"")</f>
        <v/>
      </c>
      <c r="AI7" s="146" t="str">
        <f>IF(AND('Matriz riesgos de gestión'!$AD$16="Muy Alta",'Matriz riesgos de gestión'!$AF$16="Catastrófico"),CONCATENATE("R2C",'Matriz riesgos de gestión'!$T$16),"")</f>
        <v/>
      </c>
      <c r="AJ7" s="146" t="str">
        <f>IF(AND('Matriz riesgos de gestión'!$AD$17="Muy Alta",'Matriz riesgos de gestión'!$AF$17="Catastrófico"),CONCATENATE("R2C",'Matriz riesgos de gestión'!$T$17),"")</f>
        <v/>
      </c>
      <c r="AK7" s="146" t="str">
        <f>IF(AND('Matriz riesgos de gestión'!$AD$22="Muy Alta",'Matriz riesgos de gestión'!$AF$22="Catastrófico"),CONCATENATE("R2C",'Matriz riesgos de gestión'!$T$22),"")</f>
        <v/>
      </c>
      <c r="AL7" s="146" t="str">
        <f>IF(AND('Matriz riesgos de gestión'!$AD$23="Muy Alta",'Matriz riesgos de gestión'!$AF$23="Catastrófico"),CONCATENATE("R2C",'Matriz riesgos de gestión'!$T$23),"")</f>
        <v/>
      </c>
      <c r="AM7" s="147" t="str">
        <f>IF(AND('Matriz riesgos de gestión'!$AD$24="Muy Alta",'Matriz riesgos de gestión'!$AF$24="Catastrófico"),CONCATENATE("R2C",'Matriz riesgos de gestión'!$T$24),"")</f>
        <v/>
      </c>
      <c r="AN7" s="115"/>
      <c r="AO7" s="684"/>
      <c r="AP7" s="670"/>
      <c r="AQ7" s="670"/>
      <c r="AR7" s="670"/>
      <c r="AS7" s="670"/>
      <c r="AT7" s="685"/>
      <c r="AU7" s="115"/>
      <c r="AV7" s="115"/>
      <c r="AW7" s="115"/>
      <c r="AX7" s="115"/>
      <c r="AY7" s="115"/>
      <c r="AZ7" s="115"/>
      <c r="BA7" s="115"/>
      <c r="BB7" s="115"/>
      <c r="BC7" s="115"/>
      <c r="BD7" s="115"/>
      <c r="BE7" s="115"/>
      <c r="BF7" s="115"/>
      <c r="BG7" s="115"/>
      <c r="BH7" s="115"/>
      <c r="BI7" s="115"/>
    </row>
    <row r="8" spans="1:61" ht="15" customHeight="1" x14ac:dyDescent="0.25">
      <c r="A8" s="115"/>
      <c r="B8" s="654"/>
      <c r="C8" s="670"/>
      <c r="D8" s="653"/>
      <c r="E8" s="659"/>
      <c r="F8" s="670"/>
      <c r="G8" s="670"/>
      <c r="H8" s="670"/>
      <c r="I8" s="653"/>
      <c r="J8" s="142" t="str">
        <f>IF(AND('Matriz riesgos de gestión'!$AD$25="Muy Alta",'Matriz riesgos de gestión'!$AF$25="Leve"),CONCATENATE("R3C",'Matriz riesgos de gestión'!$T$25),"")</f>
        <v/>
      </c>
      <c r="K8" s="143" t="str">
        <f>IF(AND('Matriz riesgos de gestión'!$AD$26="Muy Alta",'Matriz riesgos de gestión'!$AF$26="Leve"),CONCATENATE("R3C",'Matriz riesgos de gestión'!$T$26),"")</f>
        <v/>
      </c>
      <c r="L8" s="143" t="str">
        <f>IF(AND('Matriz riesgos de gestión'!$AD$27="Muy Alta",'Matriz riesgos de gestión'!$AF$27="Leve"),CONCATENATE("R3C",'Matriz riesgos de gestión'!$T$27),"")</f>
        <v/>
      </c>
      <c r="M8" s="143" t="str">
        <f>IF(AND('Matriz riesgos de gestión'!$AD$29="Muy Alta",'Matriz riesgos de gestión'!$AF$29="Leve"),CONCATENATE("R3C",'Matriz riesgos de gestión'!$T$29),"")</f>
        <v/>
      </c>
      <c r="N8" s="143" t="str">
        <f>IF(AND('Matriz riesgos de gestión'!$AD$30="Muy Alta",'Matriz riesgos de gestión'!$AF$30="Leve"),CONCATENATE("R3C",'Matriz riesgos de gestión'!$T$30),"")</f>
        <v/>
      </c>
      <c r="O8" s="144" t="str">
        <f>IF(AND('Matriz riesgos de gestión'!$AD$31="Muy Alta",'Matriz riesgos de gestión'!$AF$31="Leve"),CONCATENATE("R3C",'Matriz riesgos de gestión'!$T$31),"")</f>
        <v/>
      </c>
      <c r="P8" s="142" t="str">
        <f>IF(AND('Matriz riesgos de gestión'!$AD$25="Muy Alta",'Matriz riesgos de gestión'!$AF$25="Menor"),CONCATENATE("R3C",'Matriz riesgos de gestión'!$T$25),"")</f>
        <v/>
      </c>
      <c r="Q8" s="143" t="str">
        <f>IF(AND('Matriz riesgos de gestión'!$AD$26="Muy Alta",'Matriz riesgos de gestión'!$AF$26="Menor"),CONCATENATE("R3C",'Matriz riesgos de gestión'!$T$26),"")</f>
        <v/>
      </c>
      <c r="R8" s="143" t="str">
        <f>IF(AND('Matriz riesgos de gestión'!$AD$27="Muy Alta",'Matriz riesgos de gestión'!$AF$27="Menor"),CONCATENATE("R3C",'Matriz riesgos de gestión'!$T$27),"")</f>
        <v/>
      </c>
      <c r="S8" s="143" t="str">
        <f>IF(AND('Matriz riesgos de gestión'!$AD$29="Muy Alta",'Matriz riesgos de gestión'!$AF$29="Menor"),CONCATENATE("R3C",'Matriz riesgos de gestión'!$T$29),"")</f>
        <v/>
      </c>
      <c r="T8" s="143" t="str">
        <f>IF(AND('Matriz riesgos de gestión'!$AD$30="Muy Alta",'Matriz riesgos de gestión'!$AF$30="Menor"),CONCATENATE("R3C",'Matriz riesgos de gestión'!$T$30),"")</f>
        <v/>
      </c>
      <c r="U8" s="144" t="str">
        <f>IF(AND('Matriz riesgos de gestión'!$AD$31="Muy Alta",'Matriz riesgos de gestión'!$AF$31="Menor"),CONCATENATE("R3C",'Matriz riesgos de gestión'!$T$31),"")</f>
        <v/>
      </c>
      <c r="V8" s="142" t="str">
        <f>IF(AND('Matriz riesgos de gestión'!$AD$25="Muy Alta",'Matriz riesgos de gestión'!$AF$25="Moderado"),CONCATENATE("R3C",'Matriz riesgos de gestión'!$T$25),"")</f>
        <v/>
      </c>
      <c r="W8" s="143" t="str">
        <f>IF(AND('Matriz riesgos de gestión'!$AD$26="Muy Alta",'Matriz riesgos de gestión'!$AF$26="Moderado"),CONCATENATE("R3C",'Matriz riesgos de gestión'!$T$26),"")</f>
        <v/>
      </c>
      <c r="X8" s="143" t="str">
        <f>IF(AND('Matriz riesgos de gestión'!$AD$27="Muy Alta",'Matriz riesgos de gestión'!$AF$27="Moderado"),CONCATENATE("R3C",'Matriz riesgos de gestión'!$T$27),"")</f>
        <v/>
      </c>
      <c r="Y8" s="143" t="str">
        <f>IF(AND('Matriz riesgos de gestión'!$AD$29="Muy Alta",'Matriz riesgos de gestión'!$AF$29="Moderado"),CONCATENATE("R3C",'Matriz riesgos de gestión'!$T$29),"")</f>
        <v/>
      </c>
      <c r="Z8" s="143" t="str">
        <f>IF(AND('Matriz riesgos de gestión'!$AD$30="Muy Alta",'Matriz riesgos de gestión'!$AF$30="Moderado"),CONCATENATE("R3C",'Matriz riesgos de gestión'!$T$30),"")</f>
        <v/>
      </c>
      <c r="AA8" s="144" t="str">
        <f>IF(AND('Matriz riesgos de gestión'!$AD$31="Muy Alta",'Matriz riesgos de gestión'!$AF$31="Moderado"),CONCATENATE("R3C",'Matriz riesgos de gestión'!$T$31),"")</f>
        <v/>
      </c>
      <c r="AB8" s="142" t="str">
        <f>IF(AND('Matriz riesgos de gestión'!$AD$25="Muy Alta",'Matriz riesgos de gestión'!$AF$25="Mayor"),CONCATENATE("R3C",'Matriz riesgos de gestión'!$T$25),"")</f>
        <v/>
      </c>
      <c r="AC8" s="143" t="str">
        <f>IF(AND('Matriz riesgos de gestión'!$AD$26="Muy Alta",'Matriz riesgos de gestión'!$AF$26="Mayor"),CONCATENATE("R3C",'Matriz riesgos de gestión'!$T$26),"")</f>
        <v/>
      </c>
      <c r="AD8" s="143" t="str">
        <f>IF(AND('Matriz riesgos de gestión'!$AD$27="Muy Alta",'Matriz riesgos de gestión'!$AF$27="Mayor"),CONCATENATE("R3C",'Matriz riesgos de gestión'!$T$27),"")</f>
        <v/>
      </c>
      <c r="AE8" s="143" t="str">
        <f>IF(AND('Matriz riesgos de gestión'!$AD$29="Muy Alta",'Matriz riesgos de gestión'!$AF$29="Mayor"),CONCATENATE("R3C",'Matriz riesgos de gestión'!$T$29),"")</f>
        <v/>
      </c>
      <c r="AF8" s="143" t="str">
        <f>IF(AND('Matriz riesgos de gestión'!$AD$30="Muy Alta",'Matriz riesgos de gestión'!$AF$30="Mayor"),CONCATENATE("R3C",'Matriz riesgos de gestión'!$T$30),"")</f>
        <v/>
      </c>
      <c r="AG8" s="144" t="str">
        <f>IF(AND('Matriz riesgos de gestión'!$AD$31="Muy Alta",'Matriz riesgos de gestión'!$AF$31="Mayor"),CONCATENATE("R3C",'Matriz riesgos de gestión'!$T$31),"")</f>
        <v/>
      </c>
      <c r="AH8" s="145" t="str">
        <f>IF(AND('Matriz riesgos de gestión'!$AD$25="Muy Alta",'Matriz riesgos de gestión'!$AF$25="Catastrófico"),CONCATENATE("R3C",'Matriz riesgos de gestión'!$T$25),"")</f>
        <v/>
      </c>
      <c r="AI8" s="146" t="str">
        <f>IF(AND('Matriz riesgos de gestión'!$AD$26="Muy Alta",'Matriz riesgos de gestión'!$AF$26="Catastrófico"),CONCATENATE("R3C",'Matriz riesgos de gestión'!$T$26),"")</f>
        <v/>
      </c>
      <c r="AJ8" s="146" t="str">
        <f>IF(AND('Matriz riesgos de gestión'!$AD$27="Muy Alta",'Matriz riesgos de gestión'!$AF$27="Catastrófico"),CONCATENATE("R3C",'Matriz riesgos de gestión'!$T$27),"")</f>
        <v/>
      </c>
      <c r="AK8" s="146" t="str">
        <f>IF(AND('Matriz riesgos de gestión'!$AD$29="Muy Alta",'Matriz riesgos de gestión'!$AF$29="Catastrófico"),CONCATENATE("R3C",'Matriz riesgos de gestión'!$T$29),"")</f>
        <v/>
      </c>
      <c r="AL8" s="146" t="str">
        <f>IF(AND('Matriz riesgos de gestión'!$AD$30="Muy Alta",'Matriz riesgos de gestión'!$AF$30="Catastrófico"),CONCATENATE("R3C",'Matriz riesgos de gestión'!$T$30),"")</f>
        <v/>
      </c>
      <c r="AM8" s="147" t="str">
        <f>IF(AND('Matriz riesgos de gestión'!$AD$31="Muy Alta",'Matriz riesgos de gestión'!$AF$31="Catastrófico"),CONCATENATE("R3C",'Matriz riesgos de gestión'!$T$31),"")</f>
        <v/>
      </c>
      <c r="AN8" s="115"/>
      <c r="AO8" s="684"/>
      <c r="AP8" s="670"/>
      <c r="AQ8" s="670"/>
      <c r="AR8" s="670"/>
      <c r="AS8" s="670"/>
      <c r="AT8" s="685"/>
      <c r="AU8" s="115"/>
      <c r="AV8" s="115"/>
      <c r="AW8" s="115"/>
      <c r="AX8" s="115"/>
      <c r="AY8" s="115"/>
      <c r="AZ8" s="115"/>
      <c r="BA8" s="115"/>
      <c r="BB8" s="115"/>
      <c r="BC8" s="115"/>
      <c r="BD8" s="115"/>
      <c r="BE8" s="115"/>
      <c r="BF8" s="115"/>
      <c r="BG8" s="115"/>
      <c r="BH8" s="115"/>
      <c r="BI8" s="115"/>
    </row>
    <row r="9" spans="1:61" ht="15" customHeight="1" x14ac:dyDescent="0.25">
      <c r="A9" s="115"/>
      <c r="B9" s="654"/>
      <c r="C9" s="670"/>
      <c r="D9" s="653"/>
      <c r="E9" s="659"/>
      <c r="F9" s="670"/>
      <c r="G9" s="670"/>
      <c r="H9" s="670"/>
      <c r="I9" s="653"/>
      <c r="J9" s="142" t="str">
        <f>IF(AND('Matriz riesgos de gestión'!$AD$32="Muy Alta",'Matriz riesgos de gestión'!$AF$32="Leve"),CONCATENATE("R4C",'Matriz riesgos de gestión'!$T$32),"")</f>
        <v/>
      </c>
      <c r="K9" s="143" t="str">
        <f>IF(AND('Matriz riesgos de gestión'!$AD$33="Muy Alta",'Matriz riesgos de gestión'!$AF$33="Leve"),CONCATENATE("R4C",'Matriz riesgos de gestión'!$T$33),"")</f>
        <v/>
      </c>
      <c r="L9" s="143" t="str">
        <f>IF(AND('Matriz riesgos de gestión'!$AD$34="Muy Alta",'Matriz riesgos de gestión'!$AF$34="Leve"),CONCATENATE("R4C",'Matriz riesgos de gestión'!$T$34),"")</f>
        <v/>
      </c>
      <c r="M9" s="143" t="str">
        <f>IF(AND('Matriz riesgos de gestión'!$AD$35="Muy Alta",'Matriz riesgos de gestión'!$AF$35="Leve"),CONCATENATE("R4C",'Matriz riesgos de gestión'!$T$35),"")</f>
        <v/>
      </c>
      <c r="N9" s="143" t="str">
        <f>IF(AND('Matriz riesgos de gestión'!$AD$36="Muy Alta",'Matriz riesgos de gestión'!$AF$36="Leve"),CONCATENATE("R4C",'Matriz riesgos de gestión'!$T$36),"")</f>
        <v/>
      </c>
      <c r="O9" s="144" t="str">
        <f>IF(AND('Matriz riesgos de gestión'!$AD$37="Muy Alta",'Matriz riesgos de gestión'!$AF$37="Leve"),CONCATENATE("R4C",'Matriz riesgos de gestión'!$T$37),"")</f>
        <v/>
      </c>
      <c r="P9" s="142" t="str">
        <f>IF(AND('Matriz riesgos de gestión'!$AD$32="Muy Alta",'Matriz riesgos de gestión'!$AF$32="Menor"),CONCATENATE("R4C",'Matriz riesgos de gestión'!$T$32),"")</f>
        <v/>
      </c>
      <c r="Q9" s="143" t="str">
        <f>IF(AND('Matriz riesgos de gestión'!$AD$33="Muy Alta",'Matriz riesgos de gestión'!$AF$33="Menor"),CONCATENATE("R4C",'Matriz riesgos de gestión'!$T$33),"")</f>
        <v/>
      </c>
      <c r="R9" s="143" t="str">
        <f>IF(AND('Matriz riesgos de gestión'!$AD$34="Muy Alta",'Matriz riesgos de gestión'!$AF$34="Menor"),CONCATENATE("R4C",'Matriz riesgos de gestión'!$T$34),"")</f>
        <v/>
      </c>
      <c r="S9" s="143" t="str">
        <f>IF(AND('Matriz riesgos de gestión'!$AD$35="Muy Alta",'Matriz riesgos de gestión'!$AF$35="Menor"),CONCATENATE("R4C",'Matriz riesgos de gestión'!$T$35),"")</f>
        <v/>
      </c>
      <c r="T9" s="143" t="str">
        <f>IF(AND('Matriz riesgos de gestión'!$AD$36="Muy Alta",'Matriz riesgos de gestión'!$AF$36="Menor"),CONCATENATE("R4C",'Matriz riesgos de gestión'!$T$36),"")</f>
        <v/>
      </c>
      <c r="U9" s="144" t="str">
        <f>IF(AND('Matriz riesgos de gestión'!$AD$37="Muy Alta",'Matriz riesgos de gestión'!$AF$37="Menor"),CONCATENATE("R4C",'Matriz riesgos de gestión'!$T$37),"")</f>
        <v/>
      </c>
      <c r="V9" s="142" t="str">
        <f>IF(AND('Matriz riesgos de gestión'!$AD$32="Muy Alta",'Matriz riesgos de gestión'!$AF$32="Moderado"),CONCATENATE("R4C",'Matriz riesgos de gestión'!$T$32),"")</f>
        <v/>
      </c>
      <c r="W9" s="143" t="str">
        <f>IF(AND('Matriz riesgos de gestión'!$AD$33="Muy Alta",'Matriz riesgos de gestión'!$AF$33="Moderado"),CONCATENATE("R4C",'Matriz riesgos de gestión'!$T$33),"")</f>
        <v/>
      </c>
      <c r="X9" s="143" t="str">
        <f>IF(AND('Matriz riesgos de gestión'!$AD$34="Muy Alta",'Matriz riesgos de gestión'!$AF$34="Moderado"),CONCATENATE("R4C",'Matriz riesgos de gestión'!$T$34),"")</f>
        <v/>
      </c>
      <c r="Y9" s="143" t="str">
        <f>IF(AND('Matriz riesgos de gestión'!$AD$35="Muy Alta",'Matriz riesgos de gestión'!$AF$35="Moderado"),CONCATENATE("R4C",'Matriz riesgos de gestión'!$T$35),"")</f>
        <v/>
      </c>
      <c r="Z9" s="143" t="str">
        <f>IF(AND('Matriz riesgos de gestión'!$AD$36="Muy Alta",'Matriz riesgos de gestión'!$AF$36="Moderado"),CONCATENATE("R4C",'Matriz riesgos de gestión'!$T$36),"")</f>
        <v/>
      </c>
      <c r="AA9" s="144" t="str">
        <f>IF(AND('Matriz riesgos de gestión'!$AD$37="Muy Alta",'Matriz riesgos de gestión'!$AF$37="Moderado"),CONCATENATE("R4C",'Matriz riesgos de gestión'!$T$37),"")</f>
        <v/>
      </c>
      <c r="AB9" s="142" t="str">
        <f>IF(AND('Matriz riesgos de gestión'!$AD$32="Muy Alta",'Matriz riesgos de gestión'!$AF$32="Mayor"),CONCATENATE("R4C",'Matriz riesgos de gestión'!$T$32),"")</f>
        <v/>
      </c>
      <c r="AC9" s="143" t="str">
        <f>IF(AND('Matriz riesgos de gestión'!$AD$33="Muy Alta",'Matriz riesgos de gestión'!$AF$33="Mayor"),CONCATENATE("R4C",'Matriz riesgos de gestión'!$T$33),"")</f>
        <v/>
      </c>
      <c r="AD9" s="143" t="str">
        <f>IF(AND('Matriz riesgos de gestión'!$AD$34="Muy Alta",'Matriz riesgos de gestión'!$AF$34="Mayor"),CONCATENATE("R4C",'Matriz riesgos de gestión'!$T$34),"")</f>
        <v/>
      </c>
      <c r="AE9" s="143" t="str">
        <f>IF(AND('Matriz riesgos de gestión'!$AD$35="Muy Alta",'Matriz riesgos de gestión'!$AF$35="Mayor"),CONCATENATE("R4C",'Matriz riesgos de gestión'!$T$35),"")</f>
        <v/>
      </c>
      <c r="AF9" s="143" t="str">
        <f>IF(AND('Matriz riesgos de gestión'!$AD$36="Muy Alta",'Matriz riesgos de gestión'!$AF$36="Mayor"),CONCATENATE("R4C",'Matriz riesgos de gestión'!$T$36),"")</f>
        <v/>
      </c>
      <c r="AG9" s="144" t="str">
        <f>IF(AND('Matriz riesgos de gestión'!$AD$37="Muy Alta",'Matriz riesgos de gestión'!$AF$37="Mayor"),CONCATENATE("R4C",'Matriz riesgos de gestión'!$T$37),"")</f>
        <v/>
      </c>
      <c r="AH9" s="145" t="str">
        <f>IF(AND('Matriz riesgos de gestión'!$AD$32="Muy Alta",'Matriz riesgos de gestión'!$AF$32="Catastrófico"),CONCATENATE("R4C",'Matriz riesgos de gestión'!$T$32),"")</f>
        <v/>
      </c>
      <c r="AI9" s="146" t="str">
        <f>IF(AND('Matriz riesgos de gestión'!$AD$33="Muy Alta",'Matriz riesgos de gestión'!$AF$33="Catastrófico"),CONCATENATE("R4C",'Matriz riesgos de gestión'!$T$33),"")</f>
        <v/>
      </c>
      <c r="AJ9" s="146" t="str">
        <f>IF(AND('Matriz riesgos de gestión'!$AD$34="Muy Alta",'Matriz riesgos de gestión'!$AF$34="Catastrófico"),CONCATENATE("R4C",'Matriz riesgos de gestión'!$T$34),"")</f>
        <v/>
      </c>
      <c r="AK9" s="146" t="str">
        <f>IF(AND('Matriz riesgos de gestión'!$AD$35="Muy Alta",'Matriz riesgos de gestión'!$AF$35="Catastrófico"),CONCATENATE("R4C",'Matriz riesgos de gestión'!$T$35),"")</f>
        <v/>
      </c>
      <c r="AL9" s="146" t="str">
        <f>IF(AND('Matriz riesgos de gestión'!$AD$36="Muy Alta",'Matriz riesgos de gestión'!$AF$36="Catastrófico"),CONCATENATE("R4C",'Matriz riesgos de gestión'!$T$36),"")</f>
        <v/>
      </c>
      <c r="AM9" s="147" t="str">
        <f>IF(AND('Matriz riesgos de gestión'!$AD$37="Muy Alta",'Matriz riesgos de gestión'!$AF$37="Catastrófico"),CONCATENATE("R4C",'Matriz riesgos de gestión'!$T$37),"")</f>
        <v/>
      </c>
      <c r="AN9" s="115"/>
      <c r="AO9" s="684"/>
      <c r="AP9" s="670"/>
      <c r="AQ9" s="670"/>
      <c r="AR9" s="670"/>
      <c r="AS9" s="670"/>
      <c r="AT9" s="685"/>
      <c r="AU9" s="115"/>
      <c r="AV9" s="115"/>
      <c r="AW9" s="115"/>
      <c r="AX9" s="115"/>
      <c r="AY9" s="115"/>
      <c r="AZ9" s="115"/>
      <c r="BA9" s="115"/>
      <c r="BB9" s="115"/>
      <c r="BC9" s="115"/>
      <c r="BD9" s="115"/>
      <c r="BE9" s="115"/>
      <c r="BF9" s="115"/>
      <c r="BG9" s="115"/>
      <c r="BH9" s="115"/>
      <c r="BI9" s="115"/>
    </row>
    <row r="10" spans="1:61" ht="15" customHeight="1" x14ac:dyDescent="0.25">
      <c r="A10" s="115"/>
      <c r="B10" s="654"/>
      <c r="C10" s="670"/>
      <c r="D10" s="653"/>
      <c r="E10" s="659"/>
      <c r="F10" s="670"/>
      <c r="G10" s="670"/>
      <c r="H10" s="670"/>
      <c r="I10" s="653"/>
      <c r="J10" s="142" t="str">
        <f>IF(AND('Matriz riesgos de gestión'!$AD$38="Muy Alta",'Matriz riesgos de gestión'!$AF$38="Leve"),CONCATENATE("R5C",'Matriz riesgos de gestión'!$T$38),"")</f>
        <v/>
      </c>
      <c r="K10" s="143" t="str">
        <f>IF(AND('Matriz riesgos de gestión'!$AD$39="Muy Alta",'Matriz riesgos de gestión'!$AF$39="Leve"),CONCATENATE("R5C",'Matriz riesgos de gestión'!$T$39),"")</f>
        <v/>
      </c>
      <c r="L10" s="143" t="str">
        <f>IF(AND('Matriz riesgos de gestión'!$AD$40="Muy Alta",'Matriz riesgos de gestión'!$AF$40="Leve"),CONCATENATE("R5C",'Matriz riesgos de gestión'!$T$40),"")</f>
        <v/>
      </c>
      <c r="M10" s="143" t="str">
        <f>IF(AND('Matriz riesgos de gestión'!$AD$41="Muy Alta",'Matriz riesgos de gestión'!$AF$41="Leve"),CONCATENATE("R5C",'Matriz riesgos de gestión'!$T$41),"")</f>
        <v/>
      </c>
      <c r="N10" s="143" t="str">
        <f>IF(AND('Matriz riesgos de gestión'!$AD$42="Muy Alta",'Matriz riesgos de gestión'!$AF$42="Leve"),CONCATENATE("R5C",'Matriz riesgos de gestión'!$T$42),"")</f>
        <v/>
      </c>
      <c r="O10" s="144" t="str">
        <f>IF(AND('Matriz riesgos de gestión'!$AD$43="Muy Alta",'Matriz riesgos de gestión'!$AF$43="Leve"),CONCATENATE("R5C",'Matriz riesgos de gestión'!$T$43),"")</f>
        <v/>
      </c>
      <c r="P10" s="142" t="str">
        <f>IF(AND('Matriz riesgos de gestión'!$AD$38="Muy Alta",'Matriz riesgos de gestión'!$AF$38="Menor"),CONCATENATE("R5C",'Matriz riesgos de gestión'!$T$38),"")</f>
        <v/>
      </c>
      <c r="Q10" s="143" t="str">
        <f>IF(AND('Matriz riesgos de gestión'!$AD$39="Muy Alta",'Matriz riesgos de gestión'!$AF$39="Menor"),CONCATENATE("R5C",'Matriz riesgos de gestión'!$T$39),"")</f>
        <v/>
      </c>
      <c r="R10" s="143" t="str">
        <f>IF(AND('Matriz riesgos de gestión'!$AD$40="Muy Alta",'Matriz riesgos de gestión'!$AF$40="Menor"),CONCATENATE("R5C",'Matriz riesgos de gestión'!$T$40),"")</f>
        <v/>
      </c>
      <c r="S10" s="143" t="str">
        <f>IF(AND('Matriz riesgos de gestión'!$AD$41="Muy Alta",'Matriz riesgos de gestión'!$AF$41="Menor"),CONCATENATE("R5C",'Matriz riesgos de gestión'!$T$41),"")</f>
        <v/>
      </c>
      <c r="T10" s="143" t="str">
        <f>IF(AND('Matriz riesgos de gestión'!$AD$42="Muy Alta",'Matriz riesgos de gestión'!$AF$42="Menor"),CONCATENATE("R5C",'Matriz riesgos de gestión'!$T$42),"")</f>
        <v/>
      </c>
      <c r="U10" s="144" t="str">
        <f>IF(AND('Matriz riesgos de gestión'!$AD$43="Muy Alta",'Matriz riesgos de gestión'!$AF$43="Menor"),CONCATENATE("R5C",'Matriz riesgos de gestión'!$T$43),"")</f>
        <v/>
      </c>
      <c r="V10" s="142" t="str">
        <f>IF(AND('Matriz riesgos de gestión'!$AD$38="Muy Alta",'Matriz riesgos de gestión'!$AF$38="Moderado"),CONCATENATE("R5C",'Matriz riesgos de gestión'!$T$38),"")</f>
        <v/>
      </c>
      <c r="W10" s="143" t="str">
        <f>IF(AND('Matriz riesgos de gestión'!$AD$39="Muy Alta",'Matriz riesgos de gestión'!$AF$39="Moderado"),CONCATENATE("R5C",'Matriz riesgos de gestión'!$T$39),"")</f>
        <v/>
      </c>
      <c r="X10" s="143" t="str">
        <f>IF(AND('Matriz riesgos de gestión'!$AD$40="Muy Alta",'Matriz riesgos de gestión'!$AF$40="Moderado"),CONCATENATE("R5C",'Matriz riesgos de gestión'!$T$40),"")</f>
        <v/>
      </c>
      <c r="Y10" s="143" t="str">
        <f>IF(AND('Matriz riesgos de gestión'!$AD$41="Muy Alta",'Matriz riesgos de gestión'!$AF$41="Moderado"),CONCATENATE("R5C",'Matriz riesgos de gestión'!$T$41),"")</f>
        <v/>
      </c>
      <c r="Z10" s="143" t="str">
        <f>IF(AND('Matriz riesgos de gestión'!$AD$42="Muy Alta",'Matriz riesgos de gestión'!$AF$42="Moderado"),CONCATENATE("R5C",'Matriz riesgos de gestión'!$T$42),"")</f>
        <v/>
      </c>
      <c r="AA10" s="144" t="str">
        <f>IF(AND('Matriz riesgos de gestión'!$AD$43="Muy Alta",'Matriz riesgos de gestión'!$AF$43="Moderado"),CONCATENATE("R5C",'Matriz riesgos de gestión'!$T$43),"")</f>
        <v/>
      </c>
      <c r="AB10" s="142" t="str">
        <f>IF(AND('Matriz riesgos de gestión'!$AD$38="Muy Alta",'Matriz riesgos de gestión'!$AF$38="Mayor"),CONCATENATE("R5C",'Matriz riesgos de gestión'!$T$38),"")</f>
        <v/>
      </c>
      <c r="AC10" s="143" t="str">
        <f>IF(AND('Matriz riesgos de gestión'!$AD$39="Muy Alta",'Matriz riesgos de gestión'!$AF$39="Mayor"),CONCATENATE("R5C",'Matriz riesgos de gestión'!$T$39),"")</f>
        <v/>
      </c>
      <c r="AD10" s="143" t="str">
        <f>IF(AND('Matriz riesgos de gestión'!$AD$40="Muy Alta",'Matriz riesgos de gestión'!$AF$40="Mayor"),CONCATENATE("R5C",'Matriz riesgos de gestión'!$T$40),"")</f>
        <v/>
      </c>
      <c r="AE10" s="143" t="str">
        <f>IF(AND('Matriz riesgos de gestión'!$AD$41="Muy Alta",'Matriz riesgos de gestión'!$AF$41="Mayor"),CONCATENATE("R5C",'Matriz riesgos de gestión'!$T$41),"")</f>
        <v/>
      </c>
      <c r="AF10" s="143" t="str">
        <f>IF(AND('Matriz riesgos de gestión'!$AD$42="Muy Alta",'Matriz riesgos de gestión'!$AF$42="Mayor"),CONCATENATE("R5C",'Matriz riesgos de gestión'!$T$42),"")</f>
        <v/>
      </c>
      <c r="AG10" s="144" t="str">
        <f>IF(AND('Matriz riesgos de gestión'!$AD$43="Muy Alta",'Matriz riesgos de gestión'!$AF$43="Mayor"),CONCATENATE("R5C",'Matriz riesgos de gestión'!$T$43),"")</f>
        <v/>
      </c>
      <c r="AH10" s="145" t="str">
        <f>IF(AND('Matriz riesgos de gestión'!$AD$38="Muy Alta",'Matriz riesgos de gestión'!$AF$38="Catastrófico"),CONCATENATE("R5C",'Matriz riesgos de gestión'!$T$38),"")</f>
        <v/>
      </c>
      <c r="AI10" s="146" t="str">
        <f>IF(AND('Matriz riesgos de gestión'!$AD$39="Muy Alta",'Matriz riesgos de gestión'!$AF$39="Catastrófico"),CONCATENATE("R5C",'Matriz riesgos de gestión'!$T$39),"")</f>
        <v/>
      </c>
      <c r="AJ10" s="146" t="str">
        <f>IF(AND('Matriz riesgos de gestión'!$AD$40="Muy Alta",'Matriz riesgos de gestión'!$AF$40="Catastrófico"),CONCATENATE("R5C",'Matriz riesgos de gestión'!$T$40),"")</f>
        <v/>
      </c>
      <c r="AK10" s="146" t="str">
        <f>IF(AND('Matriz riesgos de gestión'!$AD$41="Muy Alta",'Matriz riesgos de gestión'!$AF$41="Catastrófico"),CONCATENATE("R5C",'Matriz riesgos de gestión'!$T$41),"")</f>
        <v/>
      </c>
      <c r="AL10" s="146" t="str">
        <f>IF(AND('Matriz riesgos de gestión'!$AD$42="Muy Alta",'Matriz riesgos de gestión'!$AF$42="Catastrófico"),CONCATENATE("R5C",'Matriz riesgos de gestión'!$T$42),"")</f>
        <v/>
      </c>
      <c r="AM10" s="147" t="str">
        <f>IF(AND('Matriz riesgos de gestión'!$AD$43="Muy Alta",'Matriz riesgos de gestión'!$AF$43="Catastrófico"),CONCATENATE("R5C",'Matriz riesgos de gestión'!$T$43),"")</f>
        <v/>
      </c>
      <c r="AN10" s="115"/>
      <c r="AO10" s="684"/>
      <c r="AP10" s="670"/>
      <c r="AQ10" s="670"/>
      <c r="AR10" s="670"/>
      <c r="AS10" s="670"/>
      <c r="AT10" s="685"/>
      <c r="AU10" s="115"/>
      <c r="AV10" s="115"/>
      <c r="AW10" s="115"/>
      <c r="AX10" s="115"/>
      <c r="AY10" s="115"/>
      <c r="AZ10" s="115"/>
      <c r="BA10" s="115"/>
      <c r="BB10" s="115"/>
      <c r="BC10" s="115"/>
      <c r="BD10" s="115"/>
      <c r="BE10" s="115"/>
      <c r="BF10" s="115"/>
      <c r="BG10" s="115"/>
      <c r="BH10" s="115"/>
      <c r="BI10" s="115"/>
    </row>
    <row r="11" spans="1:61" ht="15" customHeight="1" x14ac:dyDescent="0.25">
      <c r="A11" s="115"/>
      <c r="B11" s="654"/>
      <c r="C11" s="670"/>
      <c r="D11" s="653"/>
      <c r="E11" s="659"/>
      <c r="F11" s="670"/>
      <c r="G11" s="670"/>
      <c r="H11" s="670"/>
      <c r="I11" s="653"/>
      <c r="J11" s="142" t="str">
        <f>IF(AND('Matriz riesgos de gestión'!$AD$44="Muy Alta",'Matriz riesgos de gestión'!$AF$44="Leve"),CONCATENATE("R6C",'Matriz riesgos de gestión'!$T$44),"")</f>
        <v/>
      </c>
      <c r="K11" s="143" t="str">
        <f>IF(AND('Matriz riesgos de gestión'!$AD$45="Muy Alta",'Matriz riesgos de gestión'!$AF$45="Leve"),CONCATENATE("R6C",'Matriz riesgos de gestión'!$T$45),"")</f>
        <v/>
      </c>
      <c r="L11" s="143" t="str">
        <f>IF(AND('Matriz riesgos de gestión'!$AD$46="Muy Alta",'Matriz riesgos de gestión'!$AF$46="Leve"),CONCATENATE("R6C",'Matriz riesgos de gestión'!$T$46),"")</f>
        <v/>
      </c>
      <c r="M11" s="143" t="str">
        <f>IF(AND('Matriz riesgos de gestión'!$AD$47="Muy Alta",'Matriz riesgos de gestión'!$AF$47="Leve"),CONCATENATE("R6C",'Matriz riesgos de gestión'!$T$47),"")</f>
        <v/>
      </c>
      <c r="N11" s="143" t="str">
        <f>IF(AND('Matriz riesgos de gestión'!$AD$48="Muy Alta",'Matriz riesgos de gestión'!$AF$48="Leve"),CONCATENATE("R6C",'Matriz riesgos de gestión'!$T$48),"")</f>
        <v/>
      </c>
      <c r="O11" s="144" t="str">
        <f>IF(AND('Matriz riesgos de gestión'!$AD$49="Muy Alta",'Matriz riesgos de gestión'!$AF$49="Leve"),CONCATENATE("R6C",'Matriz riesgos de gestión'!$T$49),"")</f>
        <v/>
      </c>
      <c r="P11" s="142" t="str">
        <f>IF(AND('Matriz riesgos de gestión'!$AD$44="Muy Alta",'Matriz riesgos de gestión'!$AF$44="Menor"),CONCATENATE("R6C",'Matriz riesgos de gestión'!$T$44),"")</f>
        <v/>
      </c>
      <c r="Q11" s="143" t="str">
        <f>IF(AND('Matriz riesgos de gestión'!$AD$45="Muy Alta",'Matriz riesgos de gestión'!$AF$45="Menor"),CONCATENATE("R6C",'Matriz riesgos de gestión'!$T$45),"")</f>
        <v/>
      </c>
      <c r="R11" s="143" t="str">
        <f>IF(AND('Matriz riesgos de gestión'!$AD$46="Muy Alta",'Matriz riesgos de gestión'!$AF$46="Menor"),CONCATENATE("R6C",'Matriz riesgos de gestión'!$T$46),"")</f>
        <v/>
      </c>
      <c r="S11" s="143" t="str">
        <f>IF(AND('Matriz riesgos de gestión'!$AD$47="Muy Alta",'Matriz riesgos de gestión'!$AF$47="Menor"),CONCATENATE("R6C",'Matriz riesgos de gestión'!$T$47),"")</f>
        <v/>
      </c>
      <c r="T11" s="143" t="str">
        <f>IF(AND('Matriz riesgos de gestión'!$AD$48="Muy Alta",'Matriz riesgos de gestión'!$AF$48="Menor"),CONCATENATE("R6C",'Matriz riesgos de gestión'!$T$48),"")</f>
        <v/>
      </c>
      <c r="U11" s="144" t="str">
        <f>IF(AND('Matriz riesgos de gestión'!$AD$49="Muy Alta",'Matriz riesgos de gestión'!$AF$49="Menor"),CONCATENATE("R6C",'Matriz riesgos de gestión'!$T$49),"")</f>
        <v/>
      </c>
      <c r="V11" s="142" t="str">
        <f>IF(AND('Matriz riesgos de gestión'!$AD$44="Muy Alta",'Matriz riesgos de gestión'!$AF$44="Moderado"),CONCATENATE("R6C",'Matriz riesgos de gestión'!$T$44),"")</f>
        <v/>
      </c>
      <c r="W11" s="143" t="str">
        <f>IF(AND('Matriz riesgos de gestión'!$AD$45="Muy Alta",'Matriz riesgos de gestión'!$AF$45="Moderado"),CONCATENATE("R6C",'Matriz riesgos de gestión'!$T$45),"")</f>
        <v/>
      </c>
      <c r="X11" s="143" t="str">
        <f>IF(AND('Matriz riesgos de gestión'!$AD$46="Muy Alta",'Matriz riesgos de gestión'!$AF$46="Moderado"),CONCATENATE("R6C",'Matriz riesgos de gestión'!$T$46),"")</f>
        <v/>
      </c>
      <c r="Y11" s="143" t="str">
        <f>IF(AND('Matriz riesgos de gestión'!$AD$47="Muy Alta",'Matriz riesgos de gestión'!$AF$47="Moderado"),CONCATENATE("R6C",'Matriz riesgos de gestión'!$T$47),"")</f>
        <v/>
      </c>
      <c r="Z11" s="143" t="str">
        <f>IF(AND('Matriz riesgos de gestión'!$AD$48="Muy Alta",'Matriz riesgos de gestión'!$AF$48="Moderado"),CONCATENATE("R6C",'Matriz riesgos de gestión'!$T$48),"")</f>
        <v/>
      </c>
      <c r="AA11" s="144" t="str">
        <f>IF(AND('Matriz riesgos de gestión'!$AD$49="Muy Alta",'Matriz riesgos de gestión'!$AF$49="Moderado"),CONCATENATE("R6C",'Matriz riesgos de gestión'!$T$49),"")</f>
        <v/>
      </c>
      <c r="AB11" s="142" t="str">
        <f>IF(AND('Matriz riesgos de gestión'!$AD$44="Muy Alta",'Matriz riesgos de gestión'!$AF$44="Mayor"),CONCATENATE("R6C",'Matriz riesgos de gestión'!$T$44),"")</f>
        <v/>
      </c>
      <c r="AC11" s="143" t="str">
        <f>IF(AND('Matriz riesgos de gestión'!$AD$45="Muy Alta",'Matriz riesgos de gestión'!$AF$45="Mayor"),CONCATENATE("R6C",'Matriz riesgos de gestión'!$T$45),"")</f>
        <v/>
      </c>
      <c r="AD11" s="143" t="str">
        <f>IF(AND('Matriz riesgos de gestión'!$AD$46="Muy Alta",'Matriz riesgos de gestión'!$AF$46="Mayor"),CONCATENATE("R6C",'Matriz riesgos de gestión'!$T$46),"")</f>
        <v/>
      </c>
      <c r="AE11" s="143" t="str">
        <f>IF(AND('Matriz riesgos de gestión'!$AD$47="Muy Alta",'Matriz riesgos de gestión'!$AF$47="Mayor"),CONCATENATE("R6C",'Matriz riesgos de gestión'!$T$47),"")</f>
        <v/>
      </c>
      <c r="AF11" s="143" t="str">
        <f>IF(AND('Matriz riesgos de gestión'!$AD$48="Muy Alta",'Matriz riesgos de gestión'!$AF$48="Mayor"),CONCATENATE("R6C",'Matriz riesgos de gestión'!$T$48),"")</f>
        <v/>
      </c>
      <c r="AG11" s="144" t="str">
        <f>IF(AND('Matriz riesgos de gestión'!$AD$49="Muy Alta",'Matriz riesgos de gestión'!$AF$49="Mayor"),CONCATENATE("R6C",'Matriz riesgos de gestión'!$T$49),"")</f>
        <v/>
      </c>
      <c r="AH11" s="145" t="str">
        <f>IF(AND('Matriz riesgos de gestión'!$AD$44="Muy Alta",'Matriz riesgos de gestión'!$AF$44="Catastrófico"),CONCATENATE("R6C",'Matriz riesgos de gestión'!$T$44),"")</f>
        <v/>
      </c>
      <c r="AI11" s="146" t="str">
        <f>IF(AND('Matriz riesgos de gestión'!$AD$45="Muy Alta",'Matriz riesgos de gestión'!$AF$45="Catastrófico"),CONCATENATE("R6C",'Matriz riesgos de gestión'!$T$45),"")</f>
        <v/>
      </c>
      <c r="AJ11" s="146" t="str">
        <f>IF(AND('Matriz riesgos de gestión'!$AD$46="Muy Alta",'Matriz riesgos de gestión'!$AF$46="Catastrófico"),CONCATENATE("R6C",'Matriz riesgos de gestión'!$T$46),"")</f>
        <v/>
      </c>
      <c r="AK11" s="146" t="str">
        <f>IF(AND('Matriz riesgos de gestión'!$AD$47="Muy Alta",'Matriz riesgos de gestión'!$AF$47="Catastrófico"),CONCATENATE("R6C",'Matriz riesgos de gestión'!$T$47),"")</f>
        <v/>
      </c>
      <c r="AL11" s="146" t="str">
        <f>IF(AND('Matriz riesgos de gestión'!$AD$48="Muy Alta",'Matriz riesgos de gestión'!$AF$48="Catastrófico"),CONCATENATE("R6C",'Matriz riesgos de gestión'!$T$48),"")</f>
        <v/>
      </c>
      <c r="AM11" s="147" t="str">
        <f>IF(AND('Matriz riesgos de gestión'!$AD$49="Muy Alta",'Matriz riesgos de gestión'!$AF$49="Catastrófico"),CONCATENATE("R6C",'Matriz riesgos de gestión'!$T$49),"")</f>
        <v/>
      </c>
      <c r="AN11" s="115"/>
      <c r="AO11" s="684"/>
      <c r="AP11" s="670"/>
      <c r="AQ11" s="670"/>
      <c r="AR11" s="670"/>
      <c r="AS11" s="670"/>
      <c r="AT11" s="685"/>
      <c r="AU11" s="115"/>
      <c r="AV11" s="115"/>
      <c r="AW11" s="115"/>
      <c r="AX11" s="115"/>
      <c r="AY11" s="115"/>
      <c r="AZ11" s="115"/>
      <c r="BA11" s="115"/>
      <c r="BB11" s="115"/>
      <c r="BC11" s="115"/>
      <c r="BD11" s="115"/>
      <c r="BE11" s="115"/>
      <c r="BF11" s="115"/>
      <c r="BG11" s="115"/>
      <c r="BH11" s="115"/>
      <c r="BI11" s="115"/>
    </row>
    <row r="12" spans="1:61" ht="15" customHeight="1" x14ac:dyDescent="0.25">
      <c r="A12" s="115"/>
      <c r="B12" s="654"/>
      <c r="C12" s="670"/>
      <c r="D12" s="653"/>
      <c r="E12" s="659"/>
      <c r="F12" s="670"/>
      <c r="G12" s="670"/>
      <c r="H12" s="670"/>
      <c r="I12" s="653"/>
      <c r="J12" s="142" t="str">
        <f>IF(AND('Matriz riesgos de gestión'!$AD$50="Muy Alta",'Matriz riesgos de gestión'!$AF$50="Leve"),CONCATENATE("R7C",'Matriz riesgos de gestión'!$T$50),"")</f>
        <v/>
      </c>
      <c r="K12" s="143" t="str">
        <f>IF(AND('Matriz riesgos de gestión'!$AD$51="Muy Alta",'Matriz riesgos de gestión'!$AF$51="Leve"),CONCATENATE("R7C",'Matriz riesgos de gestión'!$T$51),"")</f>
        <v/>
      </c>
      <c r="L12" s="143" t="str">
        <f>IF(AND('Matriz riesgos de gestión'!$AD$52="Muy Alta",'Matriz riesgos de gestión'!$AF$52="Leve"),CONCATENATE("R7C",'Matriz riesgos de gestión'!$T$52),"")</f>
        <v/>
      </c>
      <c r="M12" s="143" t="str">
        <f>IF(AND('Matriz riesgos de gestión'!$AD$53="Muy Alta",'Matriz riesgos de gestión'!$AF$53="Leve"),CONCATENATE("R7C",'Matriz riesgos de gestión'!$T$53),"")</f>
        <v/>
      </c>
      <c r="N12" s="143" t="str">
        <f>IF(AND('Matriz riesgos de gestión'!$AD$54="Muy Alta",'Matriz riesgos de gestión'!$AF$54="Leve"),CONCATENATE("R7C",'Matriz riesgos de gestión'!$T$54),"")</f>
        <v/>
      </c>
      <c r="O12" s="144" t="str">
        <f>IF(AND('Matriz riesgos de gestión'!$AD$55="Muy Alta",'Matriz riesgos de gestión'!$AF$55="Leve"),CONCATENATE("R7C",'Matriz riesgos de gestión'!$T$55),"")</f>
        <v/>
      </c>
      <c r="P12" s="142" t="str">
        <f>IF(AND('Matriz riesgos de gestión'!$AD$50="Muy Alta",'Matriz riesgos de gestión'!$AF$50="Menor"),CONCATENATE("R7C",'Matriz riesgos de gestión'!$T$50),"")</f>
        <v/>
      </c>
      <c r="Q12" s="143" t="str">
        <f>IF(AND('Matriz riesgos de gestión'!$AD$51="Muy Alta",'Matriz riesgos de gestión'!$AF$51="Menor"),CONCATENATE("R7C",'Matriz riesgos de gestión'!$T$51),"")</f>
        <v/>
      </c>
      <c r="R12" s="143" t="str">
        <f>IF(AND('Matriz riesgos de gestión'!$AD$52="Muy Alta",'Matriz riesgos de gestión'!$AF$52="Menor"),CONCATENATE("R7C",'Matriz riesgos de gestión'!$T$52),"")</f>
        <v/>
      </c>
      <c r="S12" s="143" t="str">
        <f>IF(AND('Matriz riesgos de gestión'!$AD$53="Muy Alta",'Matriz riesgos de gestión'!$AF$53="Menor"),CONCATENATE("R7C",'Matriz riesgos de gestión'!$T$53),"")</f>
        <v/>
      </c>
      <c r="T12" s="143" t="str">
        <f>IF(AND('Matriz riesgos de gestión'!$AD$54="Muy Alta",'Matriz riesgos de gestión'!$AF$54="Menor"),CONCATENATE("R7C",'Matriz riesgos de gestión'!$T$54),"")</f>
        <v/>
      </c>
      <c r="U12" s="144" t="str">
        <f>IF(AND('Matriz riesgos de gestión'!$AD$55="Muy Alta",'Matriz riesgos de gestión'!$AF$55="Menor"),CONCATENATE("R7C",'Matriz riesgos de gestión'!$T$55),"")</f>
        <v/>
      </c>
      <c r="V12" s="142" t="str">
        <f>IF(AND('Matriz riesgos de gestión'!$AD$50="Muy Alta",'Matriz riesgos de gestión'!$AF$50="Moderado"),CONCATENATE("R7C",'Matriz riesgos de gestión'!$T$50),"")</f>
        <v/>
      </c>
      <c r="W12" s="143" t="str">
        <f>IF(AND('Matriz riesgos de gestión'!$AD$51="Muy Alta",'Matriz riesgos de gestión'!$AF$51="Moderado"),CONCATENATE("R7C",'Matriz riesgos de gestión'!$T$51),"")</f>
        <v/>
      </c>
      <c r="X12" s="143" t="str">
        <f>IF(AND('Matriz riesgos de gestión'!$AD$52="Muy Alta",'Matriz riesgos de gestión'!$AF$52="Moderado"),CONCATENATE("R7C",'Matriz riesgos de gestión'!$T$52),"")</f>
        <v/>
      </c>
      <c r="Y12" s="143" t="str">
        <f>IF(AND('Matriz riesgos de gestión'!$AD$53="Muy Alta",'Matriz riesgos de gestión'!$AF$53="Moderado"),CONCATENATE("R7C",'Matriz riesgos de gestión'!$T$53),"")</f>
        <v/>
      </c>
      <c r="Z12" s="143" t="str">
        <f>IF(AND('Matriz riesgos de gestión'!$AD$54="Muy Alta",'Matriz riesgos de gestión'!$AF$54="Moderado"),CONCATENATE("R7C",'Matriz riesgos de gestión'!$T$54),"")</f>
        <v/>
      </c>
      <c r="AA12" s="144" t="str">
        <f>IF(AND('Matriz riesgos de gestión'!$AD$55="Muy Alta",'Matriz riesgos de gestión'!$AF$55="Moderado"),CONCATENATE("R7C",'Matriz riesgos de gestión'!$T$55),"")</f>
        <v/>
      </c>
      <c r="AB12" s="142" t="str">
        <f>IF(AND('Matriz riesgos de gestión'!$AD$50="Muy Alta",'Matriz riesgos de gestión'!$AF$50="Mayor"),CONCATENATE("R7C",'Matriz riesgos de gestión'!$T$50),"")</f>
        <v/>
      </c>
      <c r="AC12" s="143" t="str">
        <f>IF(AND('Matriz riesgos de gestión'!$AD$51="Muy Alta",'Matriz riesgos de gestión'!$AF$51="Mayor"),CONCATENATE("R7C",'Matriz riesgos de gestión'!$T$51),"")</f>
        <v/>
      </c>
      <c r="AD12" s="143" t="str">
        <f>IF(AND('Matriz riesgos de gestión'!$AD$52="Muy Alta",'Matriz riesgos de gestión'!$AF$52="Mayor"),CONCATENATE("R7C",'Matriz riesgos de gestión'!$T$52),"")</f>
        <v/>
      </c>
      <c r="AE12" s="143" t="str">
        <f>IF(AND('Matriz riesgos de gestión'!$AD$53="Muy Alta",'Matriz riesgos de gestión'!$AF$53="Mayor"),CONCATENATE("R7C",'Matriz riesgos de gestión'!$T$53),"")</f>
        <v/>
      </c>
      <c r="AF12" s="143" t="str">
        <f>IF(AND('Matriz riesgos de gestión'!$AD$54="Muy Alta",'Matriz riesgos de gestión'!$AF$54="Mayor"),CONCATENATE("R7C",'Matriz riesgos de gestión'!$T$54),"")</f>
        <v/>
      </c>
      <c r="AG12" s="144" t="str">
        <f>IF(AND('Matriz riesgos de gestión'!$AD$55="Muy Alta",'Matriz riesgos de gestión'!$AF$55="Mayor"),CONCATENATE("R7C",'Matriz riesgos de gestión'!$T$55),"")</f>
        <v/>
      </c>
      <c r="AH12" s="145" t="str">
        <f>IF(AND('Matriz riesgos de gestión'!$AD$50="Muy Alta",'Matriz riesgos de gestión'!$AF$50="Catastrófico"),CONCATENATE("R7C",'Matriz riesgos de gestión'!$T$50),"")</f>
        <v/>
      </c>
      <c r="AI12" s="146" t="str">
        <f>IF(AND('Matriz riesgos de gestión'!$AD$51="Muy Alta",'Matriz riesgos de gestión'!$AF$51="Catastrófico"),CONCATENATE("R7C",'Matriz riesgos de gestión'!$T$51),"")</f>
        <v/>
      </c>
      <c r="AJ12" s="146" t="str">
        <f>IF(AND('Matriz riesgos de gestión'!$AD$52="Muy Alta",'Matriz riesgos de gestión'!$AF$52="Catastrófico"),CONCATENATE("R7C",'Matriz riesgos de gestión'!$T$52),"")</f>
        <v/>
      </c>
      <c r="AK12" s="146" t="str">
        <f>IF(AND('Matriz riesgos de gestión'!$AD$53="Muy Alta",'Matriz riesgos de gestión'!$AF$53="Catastrófico"),CONCATENATE("R7C",'Matriz riesgos de gestión'!$T$53),"")</f>
        <v/>
      </c>
      <c r="AL12" s="146" t="str">
        <f>IF(AND('Matriz riesgos de gestión'!$AD$54="Muy Alta",'Matriz riesgos de gestión'!$AF$54="Catastrófico"),CONCATENATE("R7C",'Matriz riesgos de gestión'!$T$54),"")</f>
        <v/>
      </c>
      <c r="AM12" s="147" t="str">
        <f>IF(AND('Matriz riesgos de gestión'!$AD$55="Muy Alta",'Matriz riesgos de gestión'!$AF$55="Catastrófico"),CONCATENATE("R7C",'Matriz riesgos de gestión'!$T$55),"")</f>
        <v/>
      </c>
      <c r="AN12" s="115"/>
      <c r="AO12" s="684"/>
      <c r="AP12" s="670"/>
      <c r="AQ12" s="670"/>
      <c r="AR12" s="670"/>
      <c r="AS12" s="670"/>
      <c r="AT12" s="685"/>
      <c r="AU12" s="115"/>
      <c r="AV12" s="115"/>
      <c r="AW12" s="115"/>
      <c r="AX12" s="115"/>
      <c r="AY12" s="115"/>
      <c r="AZ12" s="115"/>
      <c r="BA12" s="115"/>
      <c r="BB12" s="115"/>
      <c r="BC12" s="115"/>
      <c r="BD12" s="115"/>
      <c r="BE12" s="115"/>
      <c r="BF12" s="115"/>
      <c r="BG12" s="115"/>
      <c r="BH12" s="115"/>
      <c r="BI12" s="115"/>
    </row>
    <row r="13" spans="1:61" ht="15" customHeight="1" x14ac:dyDescent="0.25">
      <c r="A13" s="115"/>
      <c r="B13" s="654"/>
      <c r="C13" s="670"/>
      <c r="D13" s="653"/>
      <c r="E13" s="659"/>
      <c r="F13" s="670"/>
      <c r="G13" s="670"/>
      <c r="H13" s="670"/>
      <c r="I13" s="653"/>
      <c r="J13" s="142" t="str">
        <f>IF(AND('Matriz riesgos de gestión'!$AD$56="Muy Alta",'Matriz riesgos de gestión'!$AF$56="Leve"),CONCATENATE("R8C",'Matriz riesgos de gestión'!$T$56),"")</f>
        <v/>
      </c>
      <c r="K13" s="143" t="str">
        <f>IF(AND('Matriz riesgos de gestión'!$AD$57="Muy Alta",'Matriz riesgos de gestión'!$AF$57="Leve"),CONCATENATE("R8C",'Matriz riesgos de gestión'!$T$57),"")</f>
        <v/>
      </c>
      <c r="L13" s="143" t="str">
        <f>IF(AND('Matriz riesgos de gestión'!$AD$58="Muy Alta",'Matriz riesgos de gestión'!$AF$58="Leve"),CONCATENATE("R8C",'Matriz riesgos de gestión'!$T$58),"")</f>
        <v/>
      </c>
      <c r="M13" s="143" t="str">
        <f>IF(AND('Matriz riesgos de gestión'!$AD$59="Muy Alta",'Matriz riesgos de gestión'!$AF$59="Leve"),CONCATENATE("R8C",'Matriz riesgos de gestión'!$T$59),"")</f>
        <v/>
      </c>
      <c r="N13" s="143" t="str">
        <f>IF(AND('Matriz riesgos de gestión'!$AD$60="Muy Alta",'Matriz riesgos de gestión'!$AF$60="Leve"),CONCATENATE("R8C",'Matriz riesgos de gestión'!$T$60),"")</f>
        <v/>
      </c>
      <c r="O13" s="144" t="str">
        <f>IF(AND('Matriz riesgos de gestión'!$AD$61="Muy Alta",'Matriz riesgos de gestión'!$AF$61="Leve"),CONCATENATE("R8C",'Matriz riesgos de gestión'!$T$61),"")</f>
        <v/>
      </c>
      <c r="P13" s="142" t="str">
        <f>IF(AND('Matriz riesgos de gestión'!$AD$56="Muy Alta",'Matriz riesgos de gestión'!$AF$56="Menor"),CONCATENATE("R8C",'Matriz riesgos de gestión'!$T$56),"")</f>
        <v/>
      </c>
      <c r="Q13" s="143" t="str">
        <f>IF(AND('Matriz riesgos de gestión'!$AD$57="Muy Alta",'Matriz riesgos de gestión'!$AF$57="Menor"),CONCATENATE("R8C",'Matriz riesgos de gestión'!$T$57),"")</f>
        <v/>
      </c>
      <c r="R13" s="143" t="str">
        <f>IF(AND('Matriz riesgos de gestión'!$AD$58="Muy Alta",'Matriz riesgos de gestión'!$AF$58="Menor"),CONCATENATE("R8C",'Matriz riesgos de gestión'!$T$58),"")</f>
        <v/>
      </c>
      <c r="S13" s="143" t="str">
        <f>IF(AND('Matriz riesgos de gestión'!$AD$59="Muy Alta",'Matriz riesgos de gestión'!$AF$59="Menor"),CONCATENATE("R8C",'Matriz riesgos de gestión'!$T$59),"")</f>
        <v/>
      </c>
      <c r="T13" s="143" t="str">
        <f>IF(AND('Matriz riesgos de gestión'!$AD$60="Muy Alta",'Matriz riesgos de gestión'!$AF$60="Menor"),CONCATENATE("R8C",'Matriz riesgos de gestión'!$T$60),"")</f>
        <v/>
      </c>
      <c r="U13" s="144" t="str">
        <f>IF(AND('Matriz riesgos de gestión'!$AD$61="Muy Alta",'Matriz riesgos de gestión'!$AF$61="Menor"),CONCATENATE("R8C",'Matriz riesgos de gestión'!$T$61),"")</f>
        <v/>
      </c>
      <c r="V13" s="142" t="str">
        <f>IF(AND('Matriz riesgos de gestión'!$AD$56="Muy Alta",'Matriz riesgos de gestión'!$AF$56="Moderado"),CONCATENATE("R8C",'Matriz riesgos de gestión'!$T$56),"")</f>
        <v/>
      </c>
      <c r="W13" s="143" t="str">
        <f>IF(AND('Matriz riesgos de gestión'!$AD$57="Muy Alta",'Matriz riesgos de gestión'!$AF$57="Moderado"),CONCATENATE("R8C",'Matriz riesgos de gestión'!$T$57),"")</f>
        <v/>
      </c>
      <c r="X13" s="143" t="str">
        <f>IF(AND('Matriz riesgos de gestión'!$AD$58="Muy Alta",'Matriz riesgos de gestión'!$AF$58="Moderado"),CONCATENATE("R8C",'Matriz riesgos de gestión'!$T$58),"")</f>
        <v/>
      </c>
      <c r="Y13" s="143" t="str">
        <f>IF(AND('Matriz riesgos de gestión'!$AD$59="Muy Alta",'Matriz riesgos de gestión'!$AF$59="Moderado"),CONCATENATE("R8C",'Matriz riesgos de gestión'!$T$59),"")</f>
        <v/>
      </c>
      <c r="Z13" s="143" t="str">
        <f>IF(AND('Matriz riesgos de gestión'!$AD$60="Muy Alta",'Matriz riesgos de gestión'!$AF$60="Moderado"),CONCATENATE("R8C",'Matriz riesgos de gestión'!$T$60),"")</f>
        <v/>
      </c>
      <c r="AA13" s="144" t="str">
        <f>IF(AND('Matriz riesgos de gestión'!$AD$61="Muy Alta",'Matriz riesgos de gestión'!$AF$61="Moderado"),CONCATENATE("R8C",'Matriz riesgos de gestión'!$T$61),"")</f>
        <v/>
      </c>
      <c r="AB13" s="142" t="str">
        <f>IF(AND('Matriz riesgos de gestión'!$AD$56="Muy Alta",'Matriz riesgos de gestión'!$AF$56="Mayor"),CONCATENATE("R8C",'Matriz riesgos de gestión'!$T$56),"")</f>
        <v/>
      </c>
      <c r="AC13" s="143" t="str">
        <f>IF(AND('Matriz riesgos de gestión'!$AD$57="Muy Alta",'Matriz riesgos de gestión'!$AF$57="Mayor"),CONCATENATE("R8C",'Matriz riesgos de gestión'!$T$57),"")</f>
        <v/>
      </c>
      <c r="AD13" s="143" t="str">
        <f>IF(AND('Matriz riesgos de gestión'!$AD$58="Muy Alta",'Matriz riesgos de gestión'!$AF$58="Mayor"),CONCATENATE("R8C",'Matriz riesgos de gestión'!$T$58),"")</f>
        <v/>
      </c>
      <c r="AE13" s="143" t="str">
        <f>IF(AND('Matriz riesgos de gestión'!$AD$59="Muy Alta",'Matriz riesgos de gestión'!$AF$59="Mayor"),CONCATENATE("R8C",'Matriz riesgos de gestión'!$T$59),"")</f>
        <v/>
      </c>
      <c r="AF13" s="143" t="str">
        <f>IF(AND('Matriz riesgos de gestión'!$AD$60="Muy Alta",'Matriz riesgos de gestión'!$AF$60="Mayor"),CONCATENATE("R8C",'Matriz riesgos de gestión'!$T$60),"")</f>
        <v/>
      </c>
      <c r="AG13" s="144" t="str">
        <f>IF(AND('Matriz riesgos de gestión'!$AD$61="Muy Alta",'Matriz riesgos de gestión'!$AF$61="Mayor"),CONCATENATE("R8C",'Matriz riesgos de gestión'!$T$61),"")</f>
        <v/>
      </c>
      <c r="AH13" s="145" t="str">
        <f>IF(AND('Matriz riesgos de gestión'!$AD$56="Muy Alta",'Matriz riesgos de gestión'!$AF$56="Catastrófico"),CONCATENATE("R8C",'Matriz riesgos de gestión'!$T$56),"")</f>
        <v/>
      </c>
      <c r="AI13" s="146" t="str">
        <f>IF(AND('Matriz riesgos de gestión'!$AD$57="Muy Alta",'Matriz riesgos de gestión'!$AF$57="Catastrófico"),CONCATENATE("R8C",'Matriz riesgos de gestión'!$T$57),"")</f>
        <v/>
      </c>
      <c r="AJ13" s="146" t="str">
        <f>IF(AND('Matriz riesgos de gestión'!$AD$58="Muy Alta",'Matriz riesgos de gestión'!$AF$58="Catastrófico"),CONCATENATE("R8C",'Matriz riesgos de gestión'!$T$58),"")</f>
        <v/>
      </c>
      <c r="AK13" s="146" t="str">
        <f>IF(AND('Matriz riesgos de gestión'!$AD$59="Muy Alta",'Matriz riesgos de gestión'!$AF$59="Catastrófico"),CONCATENATE("R8C",'Matriz riesgos de gestión'!$T$59),"")</f>
        <v/>
      </c>
      <c r="AL13" s="146" t="str">
        <f>IF(AND('Matriz riesgos de gestión'!$AD$60="Muy Alta",'Matriz riesgos de gestión'!$AF$60="Catastrófico"),CONCATENATE("R8C",'Matriz riesgos de gestión'!$T$60),"")</f>
        <v/>
      </c>
      <c r="AM13" s="147" t="str">
        <f>IF(AND('Matriz riesgos de gestión'!$AD$61="Muy Alta",'Matriz riesgos de gestión'!$AF$61="Catastrófico"),CONCATENATE("R8C",'Matriz riesgos de gestión'!$T$61),"")</f>
        <v/>
      </c>
      <c r="AN13" s="115"/>
      <c r="AO13" s="684"/>
      <c r="AP13" s="670"/>
      <c r="AQ13" s="670"/>
      <c r="AR13" s="670"/>
      <c r="AS13" s="670"/>
      <c r="AT13" s="685"/>
      <c r="AU13" s="115"/>
      <c r="AV13" s="115"/>
      <c r="AW13" s="115"/>
      <c r="AX13" s="115"/>
      <c r="AY13" s="115"/>
      <c r="AZ13" s="115"/>
      <c r="BA13" s="115"/>
      <c r="BB13" s="115"/>
      <c r="BC13" s="115"/>
      <c r="BD13" s="115"/>
      <c r="BE13" s="115"/>
      <c r="BF13" s="115"/>
      <c r="BG13" s="115"/>
      <c r="BH13" s="115"/>
      <c r="BI13" s="115"/>
    </row>
    <row r="14" spans="1:61" ht="15" customHeight="1" x14ac:dyDescent="0.25">
      <c r="A14" s="115"/>
      <c r="B14" s="654"/>
      <c r="C14" s="670"/>
      <c r="D14" s="653"/>
      <c r="E14" s="659"/>
      <c r="F14" s="670"/>
      <c r="G14" s="670"/>
      <c r="H14" s="670"/>
      <c r="I14" s="653"/>
      <c r="J14" s="142" t="str">
        <f>IF(AND('Matriz riesgos de gestión'!$AD$62="Muy Alta",'Matriz riesgos de gestión'!$AF$62="Leve"),CONCATENATE("R9C",'Matriz riesgos de gestión'!$T$62),"")</f>
        <v/>
      </c>
      <c r="K14" s="143" t="str">
        <f>IF(AND('Matriz riesgos de gestión'!$AD$63="Muy Alta",'Matriz riesgos de gestión'!$AF$63="Leve"),CONCATENATE("R9C",'Matriz riesgos de gestión'!$T$63),"")</f>
        <v/>
      </c>
      <c r="L14" s="143" t="str">
        <f>IF(AND('Matriz riesgos de gestión'!$AD$64="Muy Alta",'Matriz riesgos de gestión'!$AF$64="Leve"),CONCATENATE("R9C",'Matriz riesgos de gestión'!$T$64),"")</f>
        <v/>
      </c>
      <c r="M14" s="143" t="str">
        <f>IF(AND('Matriz riesgos de gestión'!$AD$65="Muy Alta",'Matriz riesgos de gestión'!$AF$65="Leve"),CONCATENATE("R9C",'Matriz riesgos de gestión'!$T$65),"")</f>
        <v/>
      </c>
      <c r="N14" s="143" t="str">
        <f>IF(AND('Matriz riesgos de gestión'!$AD$66="Muy Alta",'Matriz riesgos de gestión'!$AF$66="Leve"),CONCATENATE("R9C",'Matriz riesgos de gestión'!$T$66),"")</f>
        <v/>
      </c>
      <c r="O14" s="144" t="str">
        <f>IF(AND('Matriz riesgos de gestión'!$AD$67="Muy Alta",'Matriz riesgos de gestión'!$AF$67="Leve"),CONCATENATE("R9C",'Matriz riesgos de gestión'!$T$67),"")</f>
        <v/>
      </c>
      <c r="P14" s="142" t="str">
        <f>IF(AND('Matriz riesgos de gestión'!$AD$62="Muy Alta",'Matriz riesgos de gestión'!$AF$62="Menor"),CONCATENATE("R9C",'Matriz riesgos de gestión'!$T$62),"")</f>
        <v/>
      </c>
      <c r="Q14" s="143" t="str">
        <f>IF(AND('Matriz riesgos de gestión'!$AD$63="Muy Alta",'Matriz riesgos de gestión'!$AF$63="Menor"),CONCATENATE("R9C",'Matriz riesgos de gestión'!$T$63),"")</f>
        <v/>
      </c>
      <c r="R14" s="143" t="str">
        <f>IF(AND('Matriz riesgos de gestión'!$AD$64="Muy Alta",'Matriz riesgos de gestión'!$AF$64="Menor"),CONCATENATE("R9C",'Matriz riesgos de gestión'!$T$64),"")</f>
        <v/>
      </c>
      <c r="S14" s="143" t="str">
        <f>IF(AND('Matriz riesgos de gestión'!$AD$65="Muy Alta",'Matriz riesgos de gestión'!$AF$65="Menor"),CONCATENATE("R9C",'Matriz riesgos de gestión'!$T$65),"")</f>
        <v/>
      </c>
      <c r="T14" s="143" t="str">
        <f>IF(AND('Matriz riesgos de gestión'!$AD$66="Muy Alta",'Matriz riesgos de gestión'!$AF$66="Menor"),CONCATENATE("R9C",'Matriz riesgos de gestión'!$T$66),"")</f>
        <v/>
      </c>
      <c r="U14" s="144" t="str">
        <f>IF(AND('Matriz riesgos de gestión'!$AD$67="Muy Alta",'Matriz riesgos de gestión'!$AF$67="Menor"),CONCATENATE("R9C",'Matriz riesgos de gestión'!$T$67),"")</f>
        <v/>
      </c>
      <c r="V14" s="142" t="str">
        <f>IF(AND('Matriz riesgos de gestión'!$AD$62="Muy Alta",'Matriz riesgos de gestión'!$AF$62="Moderado"),CONCATENATE("R9C",'Matriz riesgos de gestión'!$T$62),"")</f>
        <v/>
      </c>
      <c r="W14" s="143" t="str">
        <f>IF(AND('Matriz riesgos de gestión'!$AD$63="Muy Alta",'Matriz riesgos de gestión'!$AF$63="Moderado"),CONCATENATE("R9C",'Matriz riesgos de gestión'!$T$63),"")</f>
        <v/>
      </c>
      <c r="X14" s="143" t="str">
        <f>IF(AND('Matriz riesgos de gestión'!$AD$64="Muy Alta",'Matriz riesgos de gestión'!$AF$64="Moderado"),CONCATENATE("R9C",'Matriz riesgos de gestión'!$T$64),"")</f>
        <v/>
      </c>
      <c r="Y14" s="143" t="str">
        <f>IF(AND('Matriz riesgos de gestión'!$AD$65="Muy Alta",'Matriz riesgos de gestión'!$AF$65="Moderado"),CONCATENATE("R9C",'Matriz riesgos de gestión'!$T$65),"")</f>
        <v/>
      </c>
      <c r="Z14" s="143" t="str">
        <f>IF(AND('Matriz riesgos de gestión'!$AD$66="Muy Alta",'Matriz riesgos de gestión'!$AF$66="Moderado"),CONCATENATE("R9C",'Matriz riesgos de gestión'!$T$66),"")</f>
        <v/>
      </c>
      <c r="AA14" s="144" t="str">
        <f>IF(AND('Matriz riesgos de gestión'!$AD$67="Muy Alta",'Matriz riesgos de gestión'!$AF$67="Moderado"),CONCATENATE("R9C",'Matriz riesgos de gestión'!$T$67),"")</f>
        <v/>
      </c>
      <c r="AB14" s="142" t="str">
        <f>IF(AND('Matriz riesgos de gestión'!$AD$62="Muy Alta",'Matriz riesgos de gestión'!$AF$62="Mayor"),CONCATENATE("R9C",'Matriz riesgos de gestión'!$T$62),"")</f>
        <v/>
      </c>
      <c r="AC14" s="143" t="str">
        <f>IF(AND('Matriz riesgos de gestión'!$AD$63="Muy Alta",'Matriz riesgos de gestión'!$AF$63="Mayor"),CONCATENATE("R9C",'Matriz riesgos de gestión'!$T$63),"")</f>
        <v/>
      </c>
      <c r="AD14" s="143" t="str" cm="1">
        <f t="array" ref="AD14">IF(AND('Matriz riesgos de gestión'!$M$15="Alta",'Matriz riesgos de gestión'!$Q$15="Mayor"),'Matriz Calor Residual'!S18CONCATENAR("R",'Matriz riesgos de gestión'!$A$15),"")</f>
        <v/>
      </c>
      <c r="AE14" s="143" t="str">
        <f>IF(AND('Matriz riesgos de gestión'!$AD$65="Muy Alta",'Matriz riesgos de gestión'!$AF$65="Mayor"),CONCATENATE("R9C",'Matriz riesgos de gestión'!$T$65),"")</f>
        <v/>
      </c>
      <c r="AF14" s="143" t="str">
        <f>IF(AND('Matriz riesgos de gestión'!$AD$66="Muy Alta",'Matriz riesgos de gestión'!$AF$66="Mayor"),CONCATENATE("R9C",'Matriz riesgos de gestión'!$T$66),"")</f>
        <v/>
      </c>
      <c r="AG14" s="144" t="str">
        <f>IF(AND('Matriz riesgos de gestión'!$AD$67="Muy Alta",'Matriz riesgos de gestión'!$AF$67="Mayor"),CONCATENATE("R9C",'Matriz riesgos de gestión'!$T$67),"")</f>
        <v/>
      </c>
      <c r="AH14" s="145" t="str">
        <f>IF(AND('Matriz riesgos de gestión'!$AD$62="Muy Alta",'Matriz riesgos de gestión'!$AF$62="Catastrófico"),CONCATENATE("R9C",'Matriz riesgos de gestión'!$T$62),"")</f>
        <v/>
      </c>
      <c r="AI14" s="146" t="str">
        <f>IF(AND('Matriz riesgos de gestión'!$AD$63="Muy Alta",'Matriz riesgos de gestión'!$AF$63="Catastrófico"),CONCATENATE("R9C",'Matriz riesgos de gestión'!$T$63),"")</f>
        <v/>
      </c>
      <c r="AJ14" s="146" t="str">
        <f>IF(AND('Matriz riesgos de gestión'!$AD$64="Muy Alta",'Matriz riesgos de gestión'!$AF$64="Catastrófico"),CONCATENATE("R9C",'Matriz riesgos de gestión'!$T$64),"")</f>
        <v/>
      </c>
      <c r="AK14" s="146" t="str">
        <f>IF(AND('Matriz riesgos de gestión'!$AD$65="Muy Alta",'Matriz riesgos de gestión'!$AF$65="Catastrófico"),CONCATENATE("R9C",'Matriz riesgos de gestión'!$T$65),"")</f>
        <v/>
      </c>
      <c r="AL14" s="146" t="str">
        <f>IF(AND('Matriz riesgos de gestión'!$AD$66="Muy Alta",'Matriz riesgos de gestión'!$AF$66="Catastrófico"),CONCATENATE("R9C",'Matriz riesgos de gestión'!$T$66),"")</f>
        <v/>
      </c>
      <c r="AM14" s="147" t="str">
        <f>IF(AND('Matriz riesgos de gestión'!$AD$67="Muy Alta",'Matriz riesgos de gestión'!$AF$67="Catastrófico"),CONCATENATE("R9C",'Matriz riesgos de gestión'!$T$67),"")</f>
        <v/>
      </c>
      <c r="AN14" s="115"/>
      <c r="AO14" s="684"/>
      <c r="AP14" s="670"/>
      <c r="AQ14" s="670"/>
      <c r="AR14" s="670"/>
      <c r="AS14" s="670"/>
      <c r="AT14" s="685"/>
      <c r="AU14" s="115"/>
      <c r="AV14" s="115"/>
      <c r="AW14" s="115"/>
      <c r="AX14" s="115"/>
      <c r="AY14" s="115"/>
      <c r="AZ14" s="115"/>
      <c r="BA14" s="115"/>
      <c r="BB14" s="115"/>
      <c r="BC14" s="115"/>
      <c r="BD14" s="115"/>
      <c r="BE14" s="115"/>
      <c r="BF14" s="115"/>
      <c r="BG14" s="115"/>
      <c r="BH14" s="115"/>
      <c r="BI14" s="115"/>
    </row>
    <row r="15" spans="1:61" ht="15.75" customHeight="1" x14ac:dyDescent="0.25">
      <c r="A15" s="115"/>
      <c r="B15" s="654"/>
      <c r="C15" s="670"/>
      <c r="D15" s="653"/>
      <c r="E15" s="671"/>
      <c r="F15" s="672"/>
      <c r="G15" s="672"/>
      <c r="H15" s="672"/>
      <c r="I15" s="673"/>
      <c r="J15" s="148" t="str">
        <f>IF(AND('Matriz riesgos de gestión'!$AD$68="Muy Alta",'Matriz riesgos de gestión'!$AF$68="Leve"),CONCATENATE("R10C",'Matriz riesgos de gestión'!$T$68),"")</f>
        <v/>
      </c>
      <c r="K15" s="149" t="str">
        <f>IF(AND('Matriz riesgos de gestión'!$AD$69="Muy Alta",'Matriz riesgos de gestión'!$AF$69="Leve"),CONCATENATE("R10C",'Matriz riesgos de gestión'!$T$69),"")</f>
        <v/>
      </c>
      <c r="L15" s="149" t="str">
        <f>IF(AND('Matriz riesgos de gestión'!$AD$70="Muy Alta",'Matriz riesgos de gestión'!$AF$70="Leve"),CONCATENATE("R10C",'Matriz riesgos de gestión'!$T$70),"")</f>
        <v/>
      </c>
      <c r="M15" s="149" t="str">
        <f>IF(AND('Matriz riesgos de gestión'!$AD$71="Muy Alta",'Matriz riesgos de gestión'!$AF$71="Leve"),CONCATENATE("R10C",'Matriz riesgos de gestión'!$T$71),"")</f>
        <v/>
      </c>
      <c r="N15" s="149" t="str">
        <f>IF(AND('Matriz riesgos de gestión'!$AD$72="Muy Alta",'Matriz riesgos de gestión'!$AF$72="Leve"),CONCATENATE("R10C",'Matriz riesgos de gestión'!$T$72),"")</f>
        <v/>
      </c>
      <c r="O15" s="150" t="str">
        <f>IF(AND('Matriz riesgos de gestión'!$AD$73="Muy Alta",'Matriz riesgos de gestión'!$AF$73="Leve"),CONCATENATE("R10C",'Matriz riesgos de gestión'!$T$73),"")</f>
        <v/>
      </c>
      <c r="P15" s="142" t="str">
        <f>IF(AND('Matriz riesgos de gestión'!$AD$68="Muy Alta",'Matriz riesgos de gestión'!$AF$68="Menor"),CONCATENATE("R10C",'Matriz riesgos de gestión'!$T$68),"")</f>
        <v/>
      </c>
      <c r="Q15" s="143" t="str">
        <f>IF(AND('Matriz riesgos de gestión'!$AD$69="Muy Alta",'Matriz riesgos de gestión'!$AF$69="Menor"),CONCATENATE("R10C",'Matriz riesgos de gestión'!$T$69),"")</f>
        <v/>
      </c>
      <c r="R15" s="143" t="str">
        <f>IF(AND('Matriz riesgos de gestión'!$AD$70="Muy Alta",'Matriz riesgos de gestión'!$AF$70="Menor"),CONCATENATE("R10C",'Matriz riesgos de gestión'!$T$70),"")</f>
        <v/>
      </c>
      <c r="S15" s="143" t="str">
        <f>IF(AND('Matriz riesgos de gestión'!$AD$71="Muy Alta",'Matriz riesgos de gestión'!$AF$71="Menor"),CONCATENATE("R10C",'Matriz riesgos de gestión'!$T$71),"")</f>
        <v/>
      </c>
      <c r="T15" s="143" t="str">
        <f>IF(AND('Matriz riesgos de gestión'!$AD$72="Muy Alta",'Matriz riesgos de gestión'!$AF$72="Menor"),CONCATENATE("R10C",'Matriz riesgos de gestión'!$T$72),"")</f>
        <v/>
      </c>
      <c r="U15" s="144" t="str">
        <f>IF(AND('Matriz riesgos de gestión'!$AD$73="Muy Alta",'Matriz riesgos de gestión'!$AF$73="Menor"),CONCATENATE("R10C",'Matriz riesgos de gestión'!$T$73),"")</f>
        <v/>
      </c>
      <c r="V15" s="148" t="str">
        <f>IF(AND('Matriz riesgos de gestión'!$AD$68="Muy Alta",'Matriz riesgos de gestión'!$AF$68="Moderado"),CONCATENATE("R10C",'Matriz riesgos de gestión'!$T$68),"")</f>
        <v/>
      </c>
      <c r="W15" s="149" t="str">
        <f>IF(AND('Matriz riesgos de gestión'!$AD$69="Muy Alta",'Matriz riesgos de gestión'!$AF$69="Moderado"),CONCATENATE("R10C",'Matriz riesgos de gestión'!$T$69),"")</f>
        <v/>
      </c>
      <c r="X15" s="149" t="str">
        <f>IF(AND('Matriz riesgos de gestión'!$AD$70="Muy Alta",'Matriz riesgos de gestión'!$AF$70="Moderado"),CONCATENATE("R10C",'Matriz riesgos de gestión'!$T$70),"")</f>
        <v/>
      </c>
      <c r="Y15" s="149" t="str">
        <f>IF(AND('Matriz riesgos de gestión'!$AD$71="Muy Alta",'Matriz riesgos de gestión'!$AF$71="Moderado"),CONCATENATE("R10C",'Matriz riesgos de gestión'!$T$71),"")</f>
        <v/>
      </c>
      <c r="Z15" s="149" t="str">
        <f>IF(AND('Matriz riesgos de gestión'!$AD$72="Muy Alta",'Matriz riesgos de gestión'!$AF$72="Moderado"),CONCATENATE("R10C",'Matriz riesgos de gestión'!$T$72),"")</f>
        <v/>
      </c>
      <c r="AA15" s="150" t="str">
        <f>IF(AND('Matriz riesgos de gestión'!$AD$73="Muy Alta",'Matriz riesgos de gestión'!$AF$73="Moderado"),CONCATENATE("R10C",'Matriz riesgos de gestión'!$T$73),"")</f>
        <v/>
      </c>
      <c r="AB15" s="142" t="str">
        <f>IF(AND('Matriz riesgos de gestión'!$AD$68="Muy Alta",'Matriz riesgos de gestión'!$AF$68="Mayor"),CONCATENATE("R10C",'Matriz riesgos de gestión'!$T$68),"")</f>
        <v/>
      </c>
      <c r="AC15" s="143" t="str">
        <f>IF(AND('Matriz riesgos de gestión'!$AD$69="Muy Alta",'Matriz riesgos de gestión'!$AF$69="Mayor"),CONCATENATE("R10C",'Matriz riesgos de gestión'!$T$69),"")</f>
        <v/>
      </c>
      <c r="AD15" s="143" t="str">
        <f>IF(AND('Matriz riesgos de gestión'!$AD$70="Muy Alta",'Matriz riesgos de gestión'!$AF$70="Mayor"),CONCATENATE("R10C",'Matriz riesgos de gestión'!$T$70),"")</f>
        <v/>
      </c>
      <c r="AE15" s="143" t="str">
        <f>IF(AND('Matriz riesgos de gestión'!$AD$71="Muy Alta",'Matriz riesgos de gestión'!$AF$71="Mayor"),CONCATENATE("R10C",'Matriz riesgos de gestión'!$T$71),"")</f>
        <v/>
      </c>
      <c r="AF15" s="143" t="str">
        <f>IF(AND('Matriz riesgos de gestión'!$AD$72="Muy Alta",'Matriz riesgos de gestión'!$AF$72="Mayor"),CONCATENATE("R10C",'Matriz riesgos de gestión'!$T$72),"")</f>
        <v/>
      </c>
      <c r="AG15" s="144" t="str">
        <f>IF(AND('Matriz riesgos de gestión'!$AD$73="Muy Alta",'Matriz riesgos de gestión'!$AF$73="Mayor"),CONCATENATE("R10C",'Matriz riesgos de gestión'!$T$73),"")</f>
        <v/>
      </c>
      <c r="AH15" s="151" t="str">
        <f>IF(AND('Matriz riesgos de gestión'!$AD$68="Muy Alta",'Matriz riesgos de gestión'!$AF$68="Catastrófico"),CONCATENATE("R10C",'Matriz riesgos de gestión'!$T$68),"")</f>
        <v/>
      </c>
      <c r="AI15" s="152" t="str">
        <f>IF(AND('Matriz riesgos de gestión'!$AD$69="Muy Alta",'Matriz riesgos de gestión'!$AF$69="Catastrófico"),CONCATENATE("R10C",'Matriz riesgos de gestión'!$T$69),"")</f>
        <v/>
      </c>
      <c r="AJ15" s="152" t="str">
        <f>IF(AND('Matriz riesgos de gestión'!$AD$70="Muy Alta",'Matriz riesgos de gestión'!$AF$70="Catastrófico"),CONCATENATE("R10C",'Matriz riesgos de gestión'!$T$70),"")</f>
        <v/>
      </c>
      <c r="AK15" s="152" t="str">
        <f>IF(AND('Matriz riesgos de gestión'!$AD$71="Muy Alta",'Matriz riesgos de gestión'!$AF$71="Catastrófico"),CONCATENATE("R10C",'Matriz riesgos de gestión'!$T$71),"")</f>
        <v/>
      </c>
      <c r="AL15" s="152" t="str">
        <f>IF(AND('Matriz riesgos de gestión'!$AD$72="Muy Alta",'Matriz riesgos de gestión'!$AF$72="Catastrófico"),CONCATENATE("R10C",'Matriz riesgos de gestión'!$T$72),"")</f>
        <v/>
      </c>
      <c r="AM15" s="153" t="str">
        <f>IF(AND('Matriz riesgos de gestión'!$AD$73="Muy Alta",'Matriz riesgos de gestión'!$AF$73="Catastrófico"),CONCATENATE("R10C",'Matriz riesgos de gestión'!$T$73),"")</f>
        <v/>
      </c>
      <c r="AN15" s="115"/>
      <c r="AO15" s="686"/>
      <c r="AP15" s="687"/>
      <c r="AQ15" s="687"/>
      <c r="AR15" s="687"/>
      <c r="AS15" s="687"/>
      <c r="AT15" s="688"/>
      <c r="AU15" s="115"/>
      <c r="AV15" s="115"/>
      <c r="AW15" s="115"/>
      <c r="AX15" s="115"/>
      <c r="AY15" s="115"/>
      <c r="AZ15" s="115"/>
      <c r="BA15" s="115"/>
      <c r="BB15" s="115"/>
      <c r="BC15" s="115"/>
      <c r="BD15" s="115"/>
      <c r="BE15" s="115"/>
      <c r="BF15" s="115"/>
      <c r="BG15" s="115"/>
      <c r="BH15" s="115"/>
      <c r="BI15" s="115"/>
    </row>
    <row r="16" spans="1:61" ht="15" customHeight="1" x14ac:dyDescent="0.25">
      <c r="A16" s="115"/>
      <c r="B16" s="654"/>
      <c r="C16" s="670"/>
      <c r="D16" s="653"/>
      <c r="E16" s="693" t="s">
        <v>5</v>
      </c>
      <c r="F16" s="656"/>
      <c r="G16" s="656"/>
      <c r="H16" s="656"/>
      <c r="I16" s="656"/>
      <c r="J16" s="25" t="str">
        <f>IF(AND('Matriz riesgos de gestión'!$AD$4="Alta",'Matriz riesgos de gestión'!$AF$4="Leve"),CONCATENATE("R1C",'Matriz riesgos de gestión'!$T$4),"")</f>
        <v/>
      </c>
      <c r="K16" s="26" t="str">
        <f>IF(AND('Matriz riesgos de gestión'!$AD$5="Alta",'Matriz riesgos de gestión'!$AF$5="Leve"),CONCATENATE("R1C",'Matriz riesgos de gestión'!$T$5),"")</f>
        <v/>
      </c>
      <c r="L16" s="26" t="str">
        <f>IF(AND('Matriz riesgos de gestión'!$AD$6="Alta",'Matriz riesgos de gestión'!$AF$6="Leve"),CONCATENATE("R1C",'Matriz riesgos de gestión'!$T$6),"")</f>
        <v/>
      </c>
      <c r="M16" s="26" t="str">
        <f>IF(AND('Matriz riesgos de gestión'!$AD$7="Alta",'Matriz riesgos de gestión'!$AF$7="Leve"),CONCATENATE("R1C",'Matriz riesgos de gestión'!$T$7),"")</f>
        <v/>
      </c>
      <c r="N16" s="26" t="str">
        <f>IF(AND('Matriz riesgos de gestión'!$AD$8="Alta",'Matriz riesgos de gestión'!$AF$8="Leve"),CONCATENATE("R1C",'Matriz riesgos de gestión'!$T$8),"")</f>
        <v/>
      </c>
      <c r="O16" s="27" t="str">
        <f>IF(AND('Matriz riesgos de gestión'!$AD$9="Alta",'Matriz riesgos de gestión'!$AF$9="Leve"),CONCATENATE("R1C",'Matriz riesgos de gestión'!$T$9),"")</f>
        <v/>
      </c>
      <c r="P16" s="25" t="str">
        <f>IF(AND('Matriz riesgos de gestión'!$AD$4="Alta",'Matriz riesgos de gestión'!$AF$4="Menor"),CONCATENATE("R1C",'Matriz riesgos de gestión'!$T$4),"")</f>
        <v/>
      </c>
      <c r="Q16" s="26" t="str">
        <f>IF(AND('Matriz riesgos de gestión'!$AD$5="Alta",'Matriz riesgos de gestión'!$AF$5="Menor"),CONCATENATE("R1C",'Matriz riesgos de gestión'!$T$5),"")</f>
        <v/>
      </c>
      <c r="R16" s="26" t="str">
        <f>IF(AND('Matriz riesgos de gestión'!$AD$6="Alta",'Matriz riesgos de gestión'!$AF$6="Menor"),CONCATENATE("R1C",'Matriz riesgos de gestión'!$T$6),"")</f>
        <v/>
      </c>
      <c r="S16" s="26" t="str">
        <f>IF(AND('Matriz riesgos de gestión'!$AD$7="Alta",'Matriz riesgos de gestión'!$AF$7="Menor"),CONCATENATE("R1C",'Matriz riesgos de gestión'!$T$7),"")</f>
        <v/>
      </c>
      <c r="T16" s="26" t="str">
        <f>IF(AND('Matriz riesgos de gestión'!$AD$8="Alta",'Matriz riesgos de gestión'!$AF$8="Menor"),CONCATENATE("R1C",'Matriz riesgos de gestión'!$T$8),"")</f>
        <v/>
      </c>
      <c r="U16" s="27" t="str">
        <f>IF(AND('Matriz riesgos de gestión'!$AD$9="Alta",'Matriz riesgos de gestión'!$AF$9="Menor"),CONCATENATE("R1C",'Matriz riesgos de gestión'!$T$9),"")</f>
        <v/>
      </c>
      <c r="V16" s="19" t="str">
        <f>IF(AND('Matriz riesgos de gestión'!$AD$4="Alta",'Matriz riesgos de gestión'!$AF$4="Moderado"),CONCATENATE("R1C",'Matriz riesgos de gestión'!$T$4),"")</f>
        <v/>
      </c>
      <c r="W16" s="20" t="str">
        <f>IF(AND('Matriz riesgos de gestión'!$AD$5="Alta",'Matriz riesgos de gestión'!$AF$5="Moderado"),CONCATENATE("R1C",'Matriz riesgos de gestión'!$T$5),"")</f>
        <v/>
      </c>
      <c r="X16" s="20" t="str">
        <f>IF(AND('Matriz riesgos de gestión'!$AD$6="Alta",'Matriz riesgos de gestión'!$AF$6="Moderado"),CONCATENATE("R1C",'Matriz riesgos de gestión'!$T$6),"")</f>
        <v/>
      </c>
      <c r="Y16" s="20" t="str">
        <f>IF(AND('Matriz riesgos de gestión'!$AD$7="Alta",'Matriz riesgos de gestión'!$AF$7="Moderado"),CONCATENATE("R1C",'Matriz riesgos de gestión'!$T$7),"")</f>
        <v/>
      </c>
      <c r="Z16" s="20" t="str">
        <f>IF(AND('Matriz riesgos de gestión'!$AD$8="Alta",'Matriz riesgos de gestión'!$AF$8="Moderado"),CONCATENATE("R1C",'Matriz riesgos de gestión'!$T$8),"")</f>
        <v/>
      </c>
      <c r="AA16" s="21" t="str">
        <f>IF(AND('Matriz riesgos de gestión'!$AD$9="Alta",'Matriz riesgos de gestión'!$AF$9="Moderado"),CONCATENATE("R1C",'Matriz riesgos de gestión'!$T$9),"")</f>
        <v/>
      </c>
      <c r="AB16" s="19" t="str">
        <f>IF(AND('Matriz riesgos de gestión'!$AD$4="Alta",'Matriz riesgos de gestión'!$AF$4="Mayor"),CONCATENATE("R1C",'Matriz riesgos de gestión'!$T$4),"")</f>
        <v/>
      </c>
      <c r="AC16" s="20" t="str">
        <f>IF(AND('Matriz riesgos de gestión'!$AD$5="Alta",'Matriz riesgos de gestión'!$AF$5="Mayor"),CONCATENATE("R1C",'Matriz riesgos de gestión'!$T$5),"")</f>
        <v/>
      </c>
      <c r="AD16" s="20" t="str">
        <f>IF(AND('Matriz riesgos de gestión'!$AD$6="Alta",'Matriz riesgos de gestión'!$AF$6="Mayor"),CONCATENATE("R1C",'Matriz riesgos de gestión'!$T$6),"")</f>
        <v/>
      </c>
      <c r="AE16" s="20" t="str">
        <f>IF(AND('Matriz riesgos de gestión'!$AD$7="Alta",'Matriz riesgos de gestión'!$AF$7="Mayor"),CONCATENATE("R1C",'Matriz riesgos de gestión'!$T$7),"")</f>
        <v/>
      </c>
      <c r="AF16" s="20" t="str">
        <f>IF(AND('Matriz riesgos de gestión'!$AD$8="Alta",'Matriz riesgos de gestión'!$AF$8="Mayor"),CONCATENATE("R1C",'Matriz riesgos de gestión'!$T$8),"")</f>
        <v/>
      </c>
      <c r="AG16" s="21" t="str">
        <f>IF(AND('Matriz riesgos de gestión'!$AD$9="Alta",'Matriz riesgos de gestión'!$AF$9="Mayor"),CONCATENATE("R1C",'Matriz riesgos de gestión'!$T$9),"")</f>
        <v/>
      </c>
      <c r="AH16" s="22" t="str">
        <f>IF(AND('Matriz riesgos de gestión'!$AD$4="Alta",'Matriz riesgos de gestión'!$AF$4="Catastrófico"),CONCATENATE("R1C",'Matriz riesgos de gestión'!$T$4),"")</f>
        <v/>
      </c>
      <c r="AI16" s="23" t="str">
        <f>IF(AND('Matriz riesgos de gestión'!$AD$5="Alta",'Matriz riesgos de gestión'!$AF$5="Catastrófico"),CONCATENATE("R1C",'Matriz riesgos de gestión'!$T$5),"")</f>
        <v/>
      </c>
      <c r="AJ16" s="23" t="str">
        <f>IF(AND('Matriz riesgos de gestión'!$AD$6="Alta",'Matriz riesgos de gestión'!$AF$6="Catastrófico"),CONCATENATE("R1C",'Matriz riesgos de gestión'!$T$6),"")</f>
        <v/>
      </c>
      <c r="AK16" s="23" t="str">
        <f>IF(AND('Matriz riesgos de gestión'!$AD$7="Alta",'Matriz riesgos de gestión'!$AF$7="Catastrófico"),CONCATENATE("R1C",'Matriz riesgos de gestión'!$T$7),"")</f>
        <v/>
      </c>
      <c r="AL16" s="23" t="str">
        <f>IF(AND('Matriz riesgos de gestión'!$AD$8="Alta",'Matriz riesgos de gestión'!$AF$8="Catastrófico"),CONCATENATE("R1C",'Matriz riesgos de gestión'!$T$8),"")</f>
        <v/>
      </c>
      <c r="AM16" s="24" t="str">
        <f>IF(AND('Matriz riesgos de gestión'!$AD$9="Alta",'Matriz riesgos de gestión'!$AF$9="Catastrófico"),CONCATENATE("R1C",'Matriz riesgos de gestión'!$T$9),"")</f>
        <v/>
      </c>
      <c r="AN16" s="115"/>
      <c r="AO16" s="694" t="s">
        <v>6</v>
      </c>
      <c r="AP16" s="682"/>
      <c r="AQ16" s="682"/>
      <c r="AR16" s="682"/>
      <c r="AS16" s="682"/>
      <c r="AT16" s="683"/>
      <c r="AU16" s="115"/>
      <c r="AV16" s="115"/>
      <c r="AW16" s="115"/>
      <c r="AX16" s="115"/>
      <c r="AY16" s="115"/>
      <c r="AZ16" s="115"/>
      <c r="BA16" s="115"/>
      <c r="BB16" s="115"/>
      <c r="BC16" s="115"/>
      <c r="BD16" s="115"/>
      <c r="BE16" s="115"/>
      <c r="BF16" s="115"/>
      <c r="BG16" s="115"/>
      <c r="BH16" s="115"/>
      <c r="BI16" s="115"/>
    </row>
    <row r="17" spans="1:61" ht="15" customHeight="1" x14ac:dyDescent="0.25">
      <c r="A17" s="115"/>
      <c r="B17" s="654"/>
      <c r="C17" s="670"/>
      <c r="D17" s="653"/>
      <c r="E17" s="659"/>
      <c r="F17" s="670"/>
      <c r="G17" s="670"/>
      <c r="H17" s="670"/>
      <c r="I17" s="670"/>
      <c r="J17" s="154" t="str">
        <f>IF(AND('Matriz riesgos de gestión'!$AD$15="Alta",'Matriz riesgos de gestión'!$AF$15="Leve"),CONCATENATE("R2C",'Matriz riesgos de gestión'!$T$15),"")</f>
        <v/>
      </c>
      <c r="K17" s="155" t="str">
        <f>IF(AND('Matriz riesgos de gestión'!$AD$16="Alta",'Matriz riesgos de gestión'!$AF$16="Leve"),CONCATENATE("R2C",'Matriz riesgos de gestión'!$T$16),"")</f>
        <v/>
      </c>
      <c r="L17" s="155" t="str">
        <f>IF(AND('Matriz riesgos de gestión'!$AD$17="Alta",'Matriz riesgos de gestión'!$AF$17="Leve"),CONCATENATE("R2C",'Matriz riesgos de gestión'!$T$17),"")</f>
        <v/>
      </c>
      <c r="M17" s="155" t="str">
        <f>IF(AND('Matriz riesgos de gestión'!$AD$22="Alta",'Matriz riesgos de gestión'!$AF$22="Leve"),CONCATENATE("R2C",'Matriz riesgos de gestión'!$T$22),"")</f>
        <v/>
      </c>
      <c r="N17" s="155" t="str">
        <f>IF(AND('Matriz riesgos de gestión'!$AD$23="Alta",'Matriz riesgos de gestión'!$AF$23="Leve"),CONCATENATE("R2C",'Matriz riesgos de gestión'!$T$23),"")</f>
        <v/>
      </c>
      <c r="O17" s="156" t="str">
        <f>IF(AND('Matriz riesgos de gestión'!$AD$24="Alta",'Matriz riesgos de gestión'!$AF$24="Leve"),CONCATENATE("R2C",'Matriz riesgos de gestión'!$T$24),"")</f>
        <v/>
      </c>
      <c r="P17" s="154" t="str">
        <f>IF(AND('Matriz riesgos de gestión'!$AD$15="Alta",'Matriz riesgos de gestión'!$AF$15="Menor"),CONCATENATE("R2C",'Matriz riesgos de gestión'!$T$15),"")</f>
        <v/>
      </c>
      <c r="Q17" s="155" t="str">
        <f>IF(AND('Matriz riesgos de gestión'!$AD$16="Alta",'Matriz riesgos de gestión'!$AF$16="Menor"),CONCATENATE("R2C",'Matriz riesgos de gestión'!$T$16),"")</f>
        <v/>
      </c>
      <c r="R17" s="155" t="str">
        <f>IF(AND('Matriz riesgos de gestión'!$AD$17="Alta",'Matriz riesgos de gestión'!$AF$17="Menor"),CONCATENATE("R2C",'Matriz riesgos de gestión'!$T$17),"")</f>
        <v/>
      </c>
      <c r="S17" s="155" t="str">
        <f>IF(AND('Matriz riesgos de gestión'!$AD$22="Alta",'Matriz riesgos de gestión'!$AF$22="Menor"),CONCATENATE("R2C",'Matriz riesgos de gestión'!$T$22),"")</f>
        <v/>
      </c>
      <c r="T17" s="155" t="str">
        <f>IF(AND('Matriz riesgos de gestión'!$AD$23="Alta",'Matriz riesgos de gestión'!$AF$23="Menor"),CONCATENATE("R2C",'Matriz riesgos de gestión'!$T$23),"")</f>
        <v/>
      </c>
      <c r="U17" s="156" t="str">
        <f>IF(AND('Matriz riesgos de gestión'!$AD$24="Alta",'Matriz riesgos de gestión'!$AF$24="Menor"),CONCATENATE("R2C",'Matriz riesgos de gestión'!$T$24),"")</f>
        <v/>
      </c>
      <c r="V17" s="142" t="str">
        <f>IF(AND('Matriz riesgos de gestión'!$AD$15="Alta",'Matriz riesgos de gestión'!$AF$15="Moderado"),CONCATENATE("R2C",'Matriz riesgos de gestión'!$T$15),"")</f>
        <v/>
      </c>
      <c r="W17" s="143" t="str">
        <f>IF(AND('Matriz riesgos de gestión'!$AD$16="Alta",'Matriz riesgos de gestión'!$AF$16="Moderado"),CONCATENATE("R2C",'Matriz riesgos de gestión'!$T$16),"")</f>
        <v/>
      </c>
      <c r="X17" s="143" t="str">
        <f>IF(AND('Matriz riesgos de gestión'!$AD$17="Alta",'Matriz riesgos de gestión'!$AF$17="Moderado"),CONCATENATE("R2C",'Matriz riesgos de gestión'!$T$17),"")</f>
        <v/>
      </c>
      <c r="Y17" s="143" t="str">
        <f>IF(AND('Matriz riesgos de gestión'!$AD$22="Alta",'Matriz riesgos de gestión'!$AF$22="Moderado"),CONCATENATE("R2C",'Matriz riesgos de gestión'!$T$22),"")</f>
        <v/>
      </c>
      <c r="Z17" s="143" t="str">
        <f>IF(AND('Matriz riesgos de gestión'!$AD$23="Alta",'Matriz riesgos de gestión'!$AF$23="Moderado"),CONCATENATE("R2C",'Matriz riesgos de gestión'!$T$23),"")</f>
        <v/>
      </c>
      <c r="AA17" s="144" t="str">
        <f>IF(AND('Matriz riesgos de gestión'!$AD$24="Alta",'Matriz riesgos de gestión'!$AF$24="Moderado"),CONCATENATE("R2C",'Matriz riesgos de gestión'!$T$24),"")</f>
        <v/>
      </c>
      <c r="AB17" s="142" t="str">
        <f>IF(AND('Matriz riesgos de gestión'!$AD$15="Alta",'Matriz riesgos de gestión'!$AF$15="Mayor"),CONCATENATE("R2C",'Matriz riesgos de gestión'!$T$15),"")</f>
        <v/>
      </c>
      <c r="AC17" s="143" t="str">
        <f>IF(AND('Matriz riesgos de gestión'!$AD$16="Alta",'Matriz riesgos de gestión'!$AF$16="Mayor"),CONCATENATE("R2C",'Matriz riesgos de gestión'!$T$16),"")</f>
        <v/>
      </c>
      <c r="AD17" s="143" t="str">
        <f>IF(AND('Matriz riesgos de gestión'!$AD$17="Alta",'Matriz riesgos de gestión'!$AF$17="Mayor"),CONCATENATE("R2C",'Matriz riesgos de gestión'!$T$17),"")</f>
        <v/>
      </c>
      <c r="AE17" s="143" t="str">
        <f>IF(AND('Matriz riesgos de gestión'!$AD$22="Alta",'Matriz riesgos de gestión'!$AF$22="Mayor"),CONCATENATE("R2C",'Matriz riesgos de gestión'!$T$22),"")</f>
        <v/>
      </c>
      <c r="AF17" s="143" t="str">
        <f>IF(AND('Matriz riesgos de gestión'!$AD$23="Alta",'Matriz riesgos de gestión'!$AF$23="Mayor"),CONCATENATE("R2C",'Matriz riesgos de gestión'!$T$23),"")</f>
        <v/>
      </c>
      <c r="AG17" s="144" t="str">
        <f>IF(AND('Matriz riesgos de gestión'!$AD$24="Alta",'Matriz riesgos de gestión'!$AF$24="Mayor"),CONCATENATE("R2C",'Matriz riesgos de gestión'!$T$24),"")</f>
        <v/>
      </c>
      <c r="AH17" s="145" t="str">
        <f>IF(AND('Matriz riesgos de gestión'!$AD$15="Alta",'Matriz riesgos de gestión'!$AF$15="Catastrófico"),CONCATENATE("R2C",'Matriz riesgos de gestión'!$T$15),"")</f>
        <v/>
      </c>
      <c r="AI17" s="146" t="str">
        <f>IF(AND('Matriz riesgos de gestión'!$AD$16="Alta",'Matriz riesgos de gestión'!$AF$16="Catastrófico"),CONCATENATE("R2C",'Matriz riesgos de gestión'!$T$16),"")</f>
        <v/>
      </c>
      <c r="AJ17" s="146" t="str">
        <f>IF(AND('Matriz riesgos de gestión'!$AD$17="Alta",'Matriz riesgos de gestión'!$AF$17="Catastrófico"),CONCATENATE("R2C",'Matriz riesgos de gestión'!$T$17),"")</f>
        <v/>
      </c>
      <c r="AK17" s="146" t="str">
        <f>IF(AND('Matriz riesgos de gestión'!$AD$22="Alta",'Matriz riesgos de gestión'!$AF$22="Catastrófico"),CONCATENATE("R2C",'Matriz riesgos de gestión'!$T$22),"")</f>
        <v/>
      </c>
      <c r="AL17" s="146" t="str">
        <f>IF(AND('Matriz riesgos de gestión'!$AD$23="Alta",'Matriz riesgos de gestión'!$AF$23="Catastrófico"),CONCATENATE("R2C",'Matriz riesgos de gestión'!$T$23),"")</f>
        <v/>
      </c>
      <c r="AM17" s="147" t="str">
        <f>IF(AND('Matriz riesgos de gestión'!$AD$24="Alta",'Matriz riesgos de gestión'!$AF$24="Catastrófico"),CONCATENATE("R2C",'Matriz riesgos de gestión'!$T$24),"")</f>
        <v/>
      </c>
      <c r="AN17" s="115"/>
      <c r="AO17" s="684"/>
      <c r="AP17" s="670"/>
      <c r="AQ17" s="670"/>
      <c r="AR17" s="670"/>
      <c r="AS17" s="670"/>
      <c r="AT17" s="685"/>
      <c r="AU17" s="115"/>
      <c r="AV17" s="115"/>
      <c r="AW17" s="115"/>
      <c r="AX17" s="115"/>
      <c r="AY17" s="115"/>
      <c r="AZ17" s="115"/>
      <c r="BA17" s="115"/>
      <c r="BB17" s="115"/>
      <c r="BC17" s="115"/>
      <c r="BD17" s="115"/>
      <c r="BE17" s="115"/>
      <c r="BF17" s="115"/>
      <c r="BG17" s="115"/>
      <c r="BH17" s="115"/>
      <c r="BI17" s="115"/>
    </row>
    <row r="18" spans="1:61" ht="15" customHeight="1" x14ac:dyDescent="0.25">
      <c r="A18" s="115"/>
      <c r="B18" s="654"/>
      <c r="C18" s="670"/>
      <c r="D18" s="653"/>
      <c r="E18" s="659"/>
      <c r="F18" s="670"/>
      <c r="G18" s="670"/>
      <c r="H18" s="670"/>
      <c r="I18" s="670"/>
      <c r="J18" s="154" t="str">
        <f>IF(AND('Matriz riesgos de gestión'!$AD$25="Alta",'Matriz riesgos de gestión'!$AF$25="Leve"),CONCATENATE("R3C",'Matriz riesgos de gestión'!$T$25),"")</f>
        <v/>
      </c>
      <c r="K18" s="155" t="str">
        <f>IF(AND('Matriz riesgos de gestión'!$AD$26="Alta",'Matriz riesgos de gestión'!$AF$26="Leve"),CONCATENATE("R3C",'Matriz riesgos de gestión'!$T$26),"")</f>
        <v/>
      </c>
      <c r="L18" s="155" t="str">
        <f>IF(AND('Matriz riesgos de gestión'!$AD$27="Alta",'Matriz riesgos de gestión'!$AF$27="Leve"),CONCATENATE("R3C",'Matriz riesgos de gestión'!$T$27),"")</f>
        <v/>
      </c>
      <c r="M18" s="155" t="str">
        <f>IF(AND('Matriz riesgos de gestión'!$AD$29="Alta",'Matriz riesgos de gestión'!$AF$29="Leve"),CONCATENATE("R3C",'Matriz riesgos de gestión'!$T$29),"")</f>
        <v/>
      </c>
      <c r="N18" s="155" t="str">
        <f>IF(AND('Matriz riesgos de gestión'!$AD$30="Alta",'Matriz riesgos de gestión'!$AF$30="Leve"),CONCATENATE("R3C",'Matriz riesgos de gestión'!$T$30),"")</f>
        <v/>
      </c>
      <c r="O18" s="156" t="str">
        <f>IF(AND('Matriz riesgos de gestión'!$AD$31="Alta",'Matriz riesgos de gestión'!$AF$31="Leve"),CONCATENATE("R3C",'Matriz riesgos de gestión'!$T$31),"")</f>
        <v/>
      </c>
      <c r="P18" s="154" t="str">
        <f>IF(AND('Matriz riesgos de gestión'!$AD$25="Alta",'Matriz riesgos de gestión'!$AF$25="Menor"),CONCATENATE("R3C",'Matriz riesgos de gestión'!$T$25),"")</f>
        <v/>
      </c>
      <c r="Q18" s="155" t="str">
        <f>IF(AND('Matriz riesgos de gestión'!$AD$26="Alta",'Matriz riesgos de gestión'!$AF$26="Menor"),CONCATENATE("R3C",'Matriz riesgos de gestión'!$T$26),"")</f>
        <v/>
      </c>
      <c r="R18" s="155" t="str">
        <f>IF(AND('Matriz riesgos de gestión'!$AD$27="Alta",'Matriz riesgos de gestión'!$AF$27="Menor"),CONCATENATE("R3C",'Matriz riesgos de gestión'!$T$27),"")</f>
        <v/>
      </c>
      <c r="S18" s="155" t="str">
        <f>IF(AND('Matriz riesgos de gestión'!$AD$29="Alta",'Matriz riesgos de gestión'!$AF$29="Menor"),CONCATENATE("R3C",'Matriz riesgos de gestión'!$T$29),"")</f>
        <v/>
      </c>
      <c r="T18" s="155" t="str">
        <f>IF(AND('Matriz riesgos de gestión'!$AD$30="Alta",'Matriz riesgos de gestión'!$AF$30="Menor"),CONCATENATE("R3C",'Matriz riesgos de gestión'!$T$30),"")</f>
        <v/>
      </c>
      <c r="U18" s="156" t="str">
        <f>IF(AND('Matriz riesgos de gestión'!$AD$31="Alta",'Matriz riesgos de gestión'!$AF$31="Menor"),CONCATENATE("R3C",'Matriz riesgos de gestión'!$T$31),"")</f>
        <v/>
      </c>
      <c r="V18" s="142" t="str">
        <f>IF(AND('Matriz riesgos de gestión'!$AD$25="Alta",'Matriz riesgos de gestión'!$AF$25="Moderado"),CONCATENATE("R3C",'Matriz riesgos de gestión'!$T$25),"")</f>
        <v/>
      </c>
      <c r="W18" s="143" t="str">
        <f>IF(AND('Matriz riesgos de gestión'!$AD$26="Alta",'Matriz riesgos de gestión'!$AF$26="Moderado"),CONCATENATE("R3C",'Matriz riesgos de gestión'!$T$26),"")</f>
        <v/>
      </c>
      <c r="X18" s="143" t="str">
        <f>IF(AND('Matriz riesgos de gestión'!$AD$27="Alta",'Matriz riesgos de gestión'!$AF$27="Moderado"),CONCATENATE("R3C",'Matriz riesgos de gestión'!$T$27),"")</f>
        <v/>
      </c>
      <c r="Y18" s="143" t="str">
        <f>IF(AND('Matriz riesgos de gestión'!$AD$29="Alta",'Matriz riesgos de gestión'!$AF$29="Moderado"),CONCATENATE("R3C",'Matriz riesgos de gestión'!$T$29),"")</f>
        <v/>
      </c>
      <c r="Z18" s="143" t="str">
        <f>IF(AND('Matriz riesgos de gestión'!$AD$30="Alta",'Matriz riesgos de gestión'!$AF$30="Moderado"),CONCATENATE("R3C",'Matriz riesgos de gestión'!$T$30),"")</f>
        <v/>
      </c>
      <c r="AA18" s="144" t="str">
        <f>IF(AND('Matriz riesgos de gestión'!$AD$31="Alta",'Matriz riesgos de gestión'!$AF$31="Moderado"),CONCATENATE("R3C",'Matriz riesgos de gestión'!$T$31),"")</f>
        <v/>
      </c>
      <c r="AB18" s="142" t="str">
        <f>IF(AND('Matriz riesgos de gestión'!$AD$25="Alta",'Matriz riesgos de gestión'!$AF$25="Mayor"),CONCATENATE("R3C",'Matriz riesgos de gestión'!$T$25),"")</f>
        <v/>
      </c>
      <c r="AC18" s="143" t="str">
        <f>IF(AND('Matriz riesgos de gestión'!$AD$26="Alta",'Matriz riesgos de gestión'!$AF$26="Mayor"),CONCATENATE("R3C",'Matriz riesgos de gestión'!$T$26),"")</f>
        <v/>
      </c>
      <c r="AD18" s="143" t="str">
        <f>IF(AND('Matriz riesgos de gestión'!$AD$27="Alta",'Matriz riesgos de gestión'!$AF$27="Mayor"),CONCATENATE("R3C",'Matriz riesgos de gestión'!$T$27),"")</f>
        <v/>
      </c>
      <c r="AE18" s="143" t="str">
        <f>IF(AND('Matriz riesgos de gestión'!$AD$29="Alta",'Matriz riesgos de gestión'!$AF$29="Mayor"),CONCATENATE("R3C",'Matriz riesgos de gestión'!$T$29),"")</f>
        <v/>
      </c>
      <c r="AF18" s="143" t="str">
        <f>IF(AND('Matriz riesgos de gestión'!$AD$30="Alta",'Matriz riesgos de gestión'!$AF$30="Mayor"),CONCATENATE("R3C",'Matriz riesgos de gestión'!$T$30),"")</f>
        <v/>
      </c>
      <c r="AG18" s="144" t="str">
        <f>IF(AND('Matriz riesgos de gestión'!$AD$31="Alta",'Matriz riesgos de gestión'!$AF$31="Mayor"),CONCATENATE("R3C",'Matriz riesgos de gestión'!$T$31),"")</f>
        <v/>
      </c>
      <c r="AH18" s="145" t="str">
        <f>IF(AND('Matriz riesgos de gestión'!$AD$25="Alta",'Matriz riesgos de gestión'!$AF$25="Catastrófico"),CONCATENATE("R3C",'Matriz riesgos de gestión'!$T$25),"")</f>
        <v/>
      </c>
      <c r="AI18" s="146" t="str">
        <f>IF(AND('Matriz riesgos de gestión'!$AD$26="Alta",'Matriz riesgos de gestión'!$AF$26="Catastrófico"),CONCATENATE("R3C",'Matriz riesgos de gestión'!$T$26),"")</f>
        <v/>
      </c>
      <c r="AJ18" s="146" t="str">
        <f>IF(AND('Matriz riesgos de gestión'!$AD$27="Alta",'Matriz riesgos de gestión'!$AF$27="Catastrófico"),CONCATENATE("R3C",'Matriz riesgos de gestión'!$T$27),"")</f>
        <v/>
      </c>
      <c r="AK18" s="146" t="str">
        <f>IF(AND('Matriz riesgos de gestión'!$AD$29="Alta",'Matriz riesgos de gestión'!$AF$29="Catastrófico"),CONCATENATE("R3C",'Matriz riesgos de gestión'!$T$29),"")</f>
        <v/>
      </c>
      <c r="AL18" s="146" t="str">
        <f>IF(AND('Matriz riesgos de gestión'!$AD$30="Alta",'Matriz riesgos de gestión'!$AF$30="Catastrófico"),CONCATENATE("R3C",'Matriz riesgos de gestión'!$T$30),"")</f>
        <v/>
      </c>
      <c r="AM18" s="147" t="str">
        <f>IF(AND('Matriz riesgos de gestión'!$AD$31="Alta",'Matriz riesgos de gestión'!$AF$31="Catastrófico"),CONCATENATE("R3C",'Matriz riesgos de gestión'!$T$31),"")</f>
        <v/>
      </c>
      <c r="AN18" s="115"/>
      <c r="AO18" s="684"/>
      <c r="AP18" s="670"/>
      <c r="AQ18" s="670"/>
      <c r="AR18" s="670"/>
      <c r="AS18" s="670"/>
      <c r="AT18" s="685"/>
      <c r="AU18" s="115"/>
      <c r="AV18" s="115"/>
      <c r="AW18" s="115"/>
      <c r="AX18" s="115"/>
      <c r="AY18" s="115"/>
      <c r="AZ18" s="115"/>
      <c r="BA18" s="115"/>
      <c r="BB18" s="115"/>
      <c r="BC18" s="115"/>
      <c r="BD18" s="115"/>
      <c r="BE18" s="115"/>
      <c r="BF18" s="115"/>
      <c r="BG18" s="115"/>
      <c r="BH18" s="115"/>
      <c r="BI18" s="115"/>
    </row>
    <row r="19" spans="1:61" ht="15" customHeight="1" x14ac:dyDescent="0.25">
      <c r="A19" s="115"/>
      <c r="B19" s="654"/>
      <c r="C19" s="670"/>
      <c r="D19" s="653"/>
      <c r="E19" s="659"/>
      <c r="F19" s="670"/>
      <c r="G19" s="670"/>
      <c r="H19" s="670"/>
      <c r="I19" s="670"/>
      <c r="J19" s="154" t="str">
        <f>IF(AND('Matriz riesgos de gestión'!$AD$32="Alta",'Matriz riesgos de gestión'!$AF$32="Leve"),CONCATENATE("R4C",'Matriz riesgos de gestión'!$T$32),"")</f>
        <v/>
      </c>
      <c r="K19" s="155" t="str">
        <f>IF(AND('Matriz riesgos de gestión'!$AD$33="Alta",'Matriz riesgos de gestión'!$AF$33="Leve"),CONCATENATE("R4C",'Matriz riesgos de gestión'!$T$33),"")</f>
        <v/>
      </c>
      <c r="L19" s="155" t="str">
        <f>IF(AND('Matriz riesgos de gestión'!$AD$34="Alta",'Matriz riesgos de gestión'!$AF$34="Leve"),CONCATENATE("R4C",'Matriz riesgos de gestión'!$T$34),"")</f>
        <v/>
      </c>
      <c r="M19" s="155" t="str">
        <f>IF(AND('Matriz riesgos de gestión'!$AD$35="Alta",'Matriz riesgos de gestión'!$AF$35="Leve"),CONCATENATE("R4C",'Matriz riesgos de gestión'!$T$35),"")</f>
        <v/>
      </c>
      <c r="N19" s="155" t="str">
        <f>IF(AND('Matriz riesgos de gestión'!$AD$36="Alta",'Matriz riesgos de gestión'!$AF$36="Leve"),CONCATENATE("R4C",'Matriz riesgos de gestión'!$T$36),"")</f>
        <v/>
      </c>
      <c r="O19" s="156" t="str">
        <f>IF(AND('Matriz riesgos de gestión'!$AD$37="Alta",'Matriz riesgos de gestión'!$AF$37="Leve"),CONCATENATE("R4C",'Matriz riesgos de gestión'!$T$37),"")</f>
        <v/>
      </c>
      <c r="P19" s="154" t="str">
        <f>IF(AND('Matriz riesgos de gestión'!$AD$32="Alta",'Matriz riesgos de gestión'!$AF$32="Menor"),CONCATENATE("R4C",'Matriz riesgos de gestión'!$T$32),"")</f>
        <v/>
      </c>
      <c r="Q19" s="155" t="str">
        <f>IF(AND('Matriz riesgos de gestión'!$AD$33="Alta",'Matriz riesgos de gestión'!$AF$33="Menor"),CONCATENATE("R4C",'Matriz riesgos de gestión'!$T$33),"")</f>
        <v/>
      </c>
      <c r="R19" s="155" t="str">
        <f>IF(AND('Matriz riesgos de gestión'!$AD$34="Alta",'Matriz riesgos de gestión'!$AF$34="Menor"),CONCATENATE("R4C",'Matriz riesgos de gestión'!$T$34),"")</f>
        <v/>
      </c>
      <c r="S19" s="155" t="str">
        <f>IF(AND('Matriz riesgos de gestión'!$AD$35="Alta",'Matriz riesgos de gestión'!$AF$35="Menor"),CONCATENATE("R4C",'Matriz riesgos de gestión'!$T$35),"")</f>
        <v/>
      </c>
      <c r="T19" s="155" t="str">
        <f>IF(AND('Matriz riesgos de gestión'!$AD$36="Alta",'Matriz riesgos de gestión'!$AF$36="Menor"),CONCATENATE("R4C",'Matriz riesgos de gestión'!$T$36),"")</f>
        <v/>
      </c>
      <c r="U19" s="156" t="str">
        <f>IF(AND('Matriz riesgos de gestión'!$AD$37="Alta",'Matriz riesgos de gestión'!$AF$37="Menor"),CONCATENATE("R4C",'Matriz riesgos de gestión'!$T$37),"")</f>
        <v/>
      </c>
      <c r="V19" s="142" t="str">
        <f>IF(AND('Matriz riesgos de gestión'!$AD$32="Alta",'Matriz riesgos de gestión'!$AF$32="Moderado"),CONCATENATE("R4C",'Matriz riesgos de gestión'!$T$32),"")</f>
        <v/>
      </c>
      <c r="W19" s="143" t="str">
        <f>IF(AND('Matriz riesgos de gestión'!$AD$33="Alta",'Matriz riesgos de gestión'!$AF$33="Moderado"),CONCATENATE("R4C",'Matriz riesgos de gestión'!$T$33),"")</f>
        <v/>
      </c>
      <c r="X19" s="143" t="str">
        <f>IF(AND('Matriz riesgos de gestión'!$AD$34="Alta",'Matriz riesgos de gestión'!$AF$34="Moderado"),CONCATENATE("R4C",'Matriz riesgos de gestión'!$T$34),"")</f>
        <v/>
      </c>
      <c r="Y19" s="143" t="str">
        <f>IF(AND('Matriz riesgos de gestión'!$AD$35="Alta",'Matriz riesgos de gestión'!$AF$35="Moderado"),CONCATENATE("R4C",'Matriz riesgos de gestión'!$T$35),"")</f>
        <v/>
      </c>
      <c r="Z19" s="143" t="str">
        <f>IF(AND('Matriz riesgos de gestión'!$AD$36="Alta",'Matriz riesgos de gestión'!$AF$36="Moderado"),CONCATENATE("R4C",'Matriz riesgos de gestión'!$T$36),"")</f>
        <v/>
      </c>
      <c r="AA19" s="144" t="str">
        <f>IF(AND('Matriz riesgos de gestión'!$AD$37="Alta",'Matriz riesgos de gestión'!$AF$37="Moderado"),CONCATENATE("R4C",'Matriz riesgos de gestión'!$T$37),"")</f>
        <v/>
      </c>
      <c r="AB19" s="142" t="str">
        <f>IF(AND('Matriz riesgos de gestión'!$AD$32="Alta",'Matriz riesgos de gestión'!$AF$32="Mayor"),CONCATENATE("R4C",'Matriz riesgos de gestión'!$T$32),"")</f>
        <v/>
      </c>
      <c r="AC19" s="143" t="str">
        <f>IF(AND('Matriz riesgos de gestión'!$AD$33="Alta",'Matriz riesgos de gestión'!$AF$33="Mayor"),CONCATENATE("R4C",'Matriz riesgos de gestión'!$T$33),"")</f>
        <v/>
      </c>
      <c r="AD19" s="143" t="str">
        <f>IF(AND('Matriz riesgos de gestión'!$AD$34="Alta",'Matriz riesgos de gestión'!$AF$34="Mayor"),CONCATENATE("R4C",'Matriz riesgos de gestión'!$T$34),"")</f>
        <v/>
      </c>
      <c r="AE19" s="143" t="str">
        <f>IF(AND('Matriz riesgos de gestión'!$AD$35="Alta",'Matriz riesgos de gestión'!$AF$35="Mayor"),CONCATENATE("R4C",'Matriz riesgos de gestión'!$T$35),"")</f>
        <v/>
      </c>
      <c r="AF19" s="143" t="str">
        <f>IF(AND('Matriz riesgos de gestión'!$AD$36="Alta",'Matriz riesgos de gestión'!$AF$36="Mayor"),CONCATENATE("R4C",'Matriz riesgos de gestión'!$T$36),"")</f>
        <v/>
      </c>
      <c r="AG19" s="144" t="str">
        <f>IF(AND('Matriz riesgos de gestión'!$AD$37="Alta",'Matriz riesgos de gestión'!$AF$37="Mayor"),CONCATENATE("R4C",'Matriz riesgos de gestión'!$T$37),"")</f>
        <v/>
      </c>
      <c r="AH19" s="145" t="str">
        <f>IF(AND('Matriz riesgos de gestión'!$AD$32="Alta",'Matriz riesgos de gestión'!$AF$32="Catastrófico"),CONCATENATE("R4C",'Matriz riesgos de gestión'!$T$32),"")</f>
        <v/>
      </c>
      <c r="AI19" s="146" t="str">
        <f>IF(AND('Matriz riesgos de gestión'!$AD$33="Alta",'Matriz riesgos de gestión'!$AF$33="Catastrófico"),CONCATENATE("R4C",'Matriz riesgos de gestión'!$T$33),"")</f>
        <v/>
      </c>
      <c r="AJ19" s="146" t="str">
        <f>IF(AND('Matriz riesgos de gestión'!$AD$34="Alta",'Matriz riesgos de gestión'!$AF$34="Catastrófico"),CONCATENATE("R4C",'Matriz riesgos de gestión'!$T$34),"")</f>
        <v/>
      </c>
      <c r="AK19" s="146" t="str">
        <f>IF(AND('Matriz riesgos de gestión'!$AD$35="Alta",'Matriz riesgos de gestión'!$AF$35="Catastrófico"),CONCATENATE("R4C",'Matriz riesgos de gestión'!$T$35),"")</f>
        <v/>
      </c>
      <c r="AL19" s="146" t="str">
        <f>IF(AND('Matriz riesgos de gestión'!$AD$36="Alta",'Matriz riesgos de gestión'!$AF$36="Catastrófico"),CONCATENATE("R4C",'Matriz riesgos de gestión'!$T$36),"")</f>
        <v/>
      </c>
      <c r="AM19" s="147" t="str">
        <f>IF(AND('Matriz riesgos de gestión'!$AD$37="Alta",'Matriz riesgos de gestión'!$AF$37="Catastrófico"),CONCATENATE("R4C",'Matriz riesgos de gestión'!$T$37),"")</f>
        <v/>
      </c>
      <c r="AN19" s="115"/>
      <c r="AO19" s="684"/>
      <c r="AP19" s="670"/>
      <c r="AQ19" s="670"/>
      <c r="AR19" s="670"/>
      <c r="AS19" s="670"/>
      <c r="AT19" s="685"/>
      <c r="AU19" s="115"/>
      <c r="AV19" s="115"/>
      <c r="AW19" s="115"/>
      <c r="AX19" s="115"/>
      <c r="AY19" s="115"/>
      <c r="AZ19" s="115"/>
      <c r="BA19" s="115"/>
      <c r="BB19" s="115"/>
      <c r="BC19" s="115"/>
      <c r="BD19" s="115"/>
      <c r="BE19" s="115"/>
      <c r="BF19" s="115"/>
      <c r="BG19" s="115"/>
      <c r="BH19" s="115"/>
      <c r="BI19" s="115"/>
    </row>
    <row r="20" spans="1:61" ht="15" customHeight="1" x14ac:dyDescent="0.25">
      <c r="A20" s="115"/>
      <c r="B20" s="654"/>
      <c r="C20" s="670"/>
      <c r="D20" s="653"/>
      <c r="E20" s="659"/>
      <c r="F20" s="670"/>
      <c r="G20" s="670"/>
      <c r="H20" s="670"/>
      <c r="I20" s="670"/>
      <c r="J20" s="154" t="str">
        <f>IF(AND('Matriz riesgos de gestión'!$AD$38="Alta",'Matriz riesgos de gestión'!$AF$38="Leve"),CONCATENATE("R5C",'Matriz riesgos de gestión'!$T$38),"")</f>
        <v/>
      </c>
      <c r="K20" s="155" t="str">
        <f>IF(AND('Matriz riesgos de gestión'!$AD$39="Alta",'Matriz riesgos de gestión'!$AF$39="Leve"),CONCATENATE("R5C",'Matriz riesgos de gestión'!$T$39),"")</f>
        <v/>
      </c>
      <c r="L20" s="155" t="str">
        <f>IF(AND('Matriz riesgos de gestión'!$AD$40="Alta",'Matriz riesgos de gestión'!$AF$40="Leve"),CONCATENATE("R5C",'Matriz riesgos de gestión'!$T$40),"")</f>
        <v/>
      </c>
      <c r="M20" s="155" t="str">
        <f>IF(AND('Matriz riesgos de gestión'!$AD$41="Alta",'Matriz riesgos de gestión'!$AF$41="Leve"),CONCATENATE("R5C",'Matriz riesgos de gestión'!$T$41),"")</f>
        <v/>
      </c>
      <c r="N20" s="155" t="str">
        <f>IF(AND('Matriz riesgos de gestión'!$AD$42="Alta",'Matriz riesgos de gestión'!$AF$42="Leve"),CONCATENATE("R5C",'Matriz riesgos de gestión'!$T$42),"")</f>
        <v/>
      </c>
      <c r="O20" s="156" t="str">
        <f>IF(AND('Matriz riesgos de gestión'!$AD$43="Alta",'Matriz riesgos de gestión'!$AF$43="Leve"),CONCATENATE("R5C",'Matriz riesgos de gestión'!$T$43),"")</f>
        <v/>
      </c>
      <c r="P20" s="154" t="str">
        <f>IF(AND('Matriz riesgos de gestión'!$AD$38="Alta",'Matriz riesgos de gestión'!$AF$38="Menor"),CONCATENATE("R5C",'Matriz riesgos de gestión'!$T$38),"")</f>
        <v/>
      </c>
      <c r="Q20" s="155" t="str">
        <f>IF(AND('Matriz riesgos de gestión'!$AD$39="Alta",'Matriz riesgos de gestión'!$AF$39="Menor"),CONCATENATE("R5C",'Matriz riesgos de gestión'!$T$39),"")</f>
        <v/>
      </c>
      <c r="R20" s="155" t="str">
        <f>IF(AND('Matriz riesgos de gestión'!$AD$40="Alta",'Matriz riesgos de gestión'!$AF$40="Menor"),CONCATENATE("R5C",'Matriz riesgos de gestión'!$T$40),"")</f>
        <v/>
      </c>
      <c r="S20" s="155" t="str">
        <f>IF(AND('Matriz riesgos de gestión'!$AD$41="Alta",'Matriz riesgos de gestión'!$AF$41="Menor"),CONCATENATE("R5C",'Matriz riesgos de gestión'!$T$41),"")</f>
        <v/>
      </c>
      <c r="T20" s="155" t="str">
        <f>IF(AND('Matriz riesgos de gestión'!$AD$42="Alta",'Matriz riesgos de gestión'!$AF$42="Menor"),CONCATENATE("R5C",'Matriz riesgos de gestión'!$T$42),"")</f>
        <v/>
      </c>
      <c r="U20" s="156" t="str">
        <f>IF(AND('Matriz riesgos de gestión'!$AD$43="Alta",'Matriz riesgos de gestión'!$AF$43="Menor"),CONCATENATE("R5C",'Matriz riesgos de gestión'!$T$43),"")</f>
        <v/>
      </c>
      <c r="V20" s="142" t="str">
        <f>IF(AND('Matriz riesgos de gestión'!$AD$38="Alta",'Matriz riesgos de gestión'!$AF$38="Moderado"),CONCATENATE("R5C",'Matriz riesgos de gestión'!$T$38),"")</f>
        <v/>
      </c>
      <c r="W20" s="143" t="str">
        <f>IF(AND('Matriz riesgos de gestión'!$AD$39="Alta",'Matriz riesgos de gestión'!$AF$39="Moderado"),CONCATENATE("R5C",'Matriz riesgos de gestión'!$T$39),"")</f>
        <v/>
      </c>
      <c r="X20" s="143" t="str">
        <f>IF(AND('Matriz riesgos de gestión'!$AD$40="Alta",'Matriz riesgos de gestión'!$AF$40="Moderado"),CONCATENATE("R5C",'Matriz riesgos de gestión'!$T$40),"")</f>
        <v/>
      </c>
      <c r="Y20" s="143" t="str">
        <f>IF(AND('Matriz riesgos de gestión'!$AD$41="Alta",'Matriz riesgos de gestión'!$AF$41="Moderado"),CONCATENATE("R5C",'Matriz riesgos de gestión'!$T$41),"")</f>
        <v/>
      </c>
      <c r="Z20" s="143" t="str">
        <f>IF(AND('Matriz riesgos de gestión'!$AD$42="Alta",'Matriz riesgos de gestión'!$AF$42="Moderado"),CONCATENATE("R5C",'Matriz riesgos de gestión'!$T$42),"")</f>
        <v/>
      </c>
      <c r="AA20" s="144" t="str">
        <f>IF(AND('Matriz riesgos de gestión'!$AD$43="Alta",'Matriz riesgos de gestión'!$AF$43="Moderado"),CONCATENATE("R5C",'Matriz riesgos de gestión'!$T$43),"")</f>
        <v/>
      </c>
      <c r="AB20" s="142" t="str">
        <f>IF(AND('Matriz riesgos de gestión'!$AD$38="Alta",'Matriz riesgos de gestión'!$AF$38="Mayor"),CONCATENATE("R5C",'Matriz riesgos de gestión'!$T$38),"")</f>
        <v/>
      </c>
      <c r="AC20" s="143" t="str">
        <f>IF(AND('Matriz riesgos de gestión'!$AD$39="Alta",'Matriz riesgos de gestión'!$AF$39="Mayor"),CONCATENATE("R5C",'Matriz riesgos de gestión'!$T$39),"")</f>
        <v/>
      </c>
      <c r="AD20" s="143" t="str">
        <f>IF(AND('Matriz riesgos de gestión'!$AD$40="Alta",'Matriz riesgos de gestión'!$AF$40="Mayor"),CONCATENATE("R5C",'Matriz riesgos de gestión'!$T$40),"")</f>
        <v/>
      </c>
      <c r="AE20" s="143" t="str">
        <f>IF(AND('Matriz riesgos de gestión'!$AD$41="Alta",'Matriz riesgos de gestión'!$AF$41="Mayor"),CONCATENATE("R5C",'Matriz riesgos de gestión'!$T$41),"")</f>
        <v/>
      </c>
      <c r="AF20" s="143" t="str">
        <f>IF(AND('Matriz riesgos de gestión'!$AD$42="Alta",'Matriz riesgos de gestión'!$AF$42="Mayor"),CONCATENATE("R5C",'Matriz riesgos de gestión'!$T$42),"")</f>
        <v/>
      </c>
      <c r="AG20" s="144" t="str">
        <f>IF(AND('Matriz riesgos de gestión'!$AD$43="Alta",'Matriz riesgos de gestión'!$AF$43="Mayor"),CONCATENATE("R5C",'Matriz riesgos de gestión'!$T$43),"")</f>
        <v/>
      </c>
      <c r="AH20" s="145" t="str">
        <f>IF(AND('Matriz riesgos de gestión'!$AD$38="Alta",'Matriz riesgos de gestión'!$AF$38="Catastrófico"),CONCATENATE("R5C",'Matriz riesgos de gestión'!$T$38),"")</f>
        <v/>
      </c>
      <c r="AI20" s="146" t="str">
        <f>IF(AND('Matriz riesgos de gestión'!$AD$39="Alta",'Matriz riesgos de gestión'!$AF$39="Catastrófico"),CONCATENATE("R5C",'Matriz riesgos de gestión'!$T$39),"")</f>
        <v/>
      </c>
      <c r="AJ20" s="146" t="str">
        <f>IF(AND('Matriz riesgos de gestión'!$AD$40="Alta",'Matriz riesgos de gestión'!$AF$40="Catastrófico"),CONCATENATE("R5C",'Matriz riesgos de gestión'!$T$40),"")</f>
        <v/>
      </c>
      <c r="AK20" s="146" t="str">
        <f>IF(AND('Matriz riesgos de gestión'!$AD$41="Alta",'Matriz riesgos de gestión'!$AF$41="Catastrófico"),CONCATENATE("R5C",'Matriz riesgos de gestión'!$T$41),"")</f>
        <v/>
      </c>
      <c r="AL20" s="146" t="str">
        <f>IF(AND('Matriz riesgos de gestión'!$AD$42="Alta",'Matriz riesgos de gestión'!$AF$42="Catastrófico"),CONCATENATE("R5C",'Matriz riesgos de gestión'!$T$42),"")</f>
        <v/>
      </c>
      <c r="AM20" s="147" t="str">
        <f>IF(AND('Matriz riesgos de gestión'!$AD$43="Alta",'Matriz riesgos de gestión'!$AF$43="Catastrófico"),CONCATENATE("R5C",'Matriz riesgos de gestión'!$T$43),"")</f>
        <v/>
      </c>
      <c r="AN20" s="115"/>
      <c r="AO20" s="684"/>
      <c r="AP20" s="670"/>
      <c r="AQ20" s="670"/>
      <c r="AR20" s="670"/>
      <c r="AS20" s="670"/>
      <c r="AT20" s="685"/>
      <c r="AU20" s="115"/>
      <c r="AV20" s="115"/>
      <c r="AW20" s="115"/>
      <c r="AX20" s="115"/>
      <c r="AY20" s="115"/>
      <c r="AZ20" s="115"/>
      <c r="BA20" s="115"/>
      <c r="BB20" s="115"/>
      <c r="BC20" s="115"/>
      <c r="BD20" s="115"/>
      <c r="BE20" s="115"/>
      <c r="BF20" s="115"/>
      <c r="BG20" s="115"/>
      <c r="BH20" s="115"/>
      <c r="BI20" s="115"/>
    </row>
    <row r="21" spans="1:61" ht="15" customHeight="1" x14ac:dyDescent="0.25">
      <c r="A21" s="115"/>
      <c r="B21" s="654"/>
      <c r="C21" s="670"/>
      <c r="D21" s="653"/>
      <c r="E21" s="659"/>
      <c r="F21" s="670"/>
      <c r="G21" s="670"/>
      <c r="H21" s="670"/>
      <c r="I21" s="670"/>
      <c r="J21" s="154" t="str">
        <f>IF(AND('Matriz riesgos de gestión'!$AD$44="Alta",'Matriz riesgos de gestión'!$AF$44="Leve"),CONCATENATE("R6C",'Matriz riesgos de gestión'!$T$44),"")</f>
        <v/>
      </c>
      <c r="K21" s="155" t="str">
        <f>IF(AND('Matriz riesgos de gestión'!$AD$45="Alta",'Matriz riesgos de gestión'!$AF$45="Leve"),CONCATENATE("R6C",'Matriz riesgos de gestión'!$T$45),"")</f>
        <v/>
      </c>
      <c r="L21" s="155" t="str">
        <f>IF(AND('Matriz riesgos de gestión'!$AD$46="Alta",'Matriz riesgos de gestión'!$AF$46="Leve"),CONCATENATE("R6C",'Matriz riesgos de gestión'!$T$46),"")</f>
        <v/>
      </c>
      <c r="M21" s="155" t="str">
        <f>IF(AND('Matriz riesgos de gestión'!$AD$47="Alta",'Matriz riesgos de gestión'!$AF$47="Leve"),CONCATENATE("R6C",'Matriz riesgos de gestión'!$T$47),"")</f>
        <v/>
      </c>
      <c r="N21" s="155" t="str">
        <f>IF(AND('Matriz riesgos de gestión'!$AD$48="Alta",'Matriz riesgos de gestión'!$AF$48="Leve"),CONCATENATE("R6C",'Matriz riesgos de gestión'!$T$48),"")</f>
        <v/>
      </c>
      <c r="O21" s="156" t="str">
        <f>IF(AND('Matriz riesgos de gestión'!$AD$49="Alta",'Matriz riesgos de gestión'!$AF$49="Leve"),CONCATENATE("R6C",'Matriz riesgos de gestión'!$T$49),"")</f>
        <v/>
      </c>
      <c r="P21" s="154" t="str">
        <f>IF(AND('Matriz riesgos de gestión'!$AD$44="Alta",'Matriz riesgos de gestión'!$AF$44="Menor"),CONCATENATE("R6C",'Matriz riesgos de gestión'!$T$44),"")</f>
        <v/>
      </c>
      <c r="Q21" s="155" t="str">
        <f>IF(AND('Matriz riesgos de gestión'!$AD$45="Alta",'Matriz riesgos de gestión'!$AF$45="Menor"),CONCATENATE("R6C",'Matriz riesgos de gestión'!$T$45),"")</f>
        <v/>
      </c>
      <c r="R21" s="155" t="str">
        <f>IF(AND('Matriz riesgos de gestión'!$AD$46="Alta",'Matriz riesgos de gestión'!$AF$46="Menor"),CONCATENATE("R6C",'Matriz riesgos de gestión'!$T$46),"")</f>
        <v/>
      </c>
      <c r="S21" s="155" t="str">
        <f>IF(AND('Matriz riesgos de gestión'!$AD$47="Alta",'Matriz riesgos de gestión'!$AF$47="Menor"),CONCATENATE("R6C",'Matriz riesgos de gestión'!$T$47),"")</f>
        <v/>
      </c>
      <c r="T21" s="155" t="str">
        <f>IF(AND('Matriz riesgos de gestión'!$AD$48="Alta",'Matriz riesgos de gestión'!$AF$48="Menor"),CONCATENATE("R6C",'Matriz riesgos de gestión'!$T$48),"")</f>
        <v/>
      </c>
      <c r="U21" s="156" t="str">
        <f>IF(AND('Matriz riesgos de gestión'!$AD$49="Alta",'Matriz riesgos de gestión'!$AF$49="Menor"),CONCATENATE("R6C",'Matriz riesgos de gestión'!$T$49),"")</f>
        <v/>
      </c>
      <c r="V21" s="142" t="str">
        <f>IF(AND('Matriz riesgos de gestión'!$AD$44="Alta",'Matriz riesgos de gestión'!$AF$44="Moderado"),CONCATENATE("R6C",'Matriz riesgos de gestión'!$T$44),"")</f>
        <v/>
      </c>
      <c r="W21" s="143" t="str">
        <f>IF(AND('Matriz riesgos de gestión'!$AD$45="Alta",'Matriz riesgos de gestión'!$AF$45="Moderado"),CONCATENATE("R6C",'Matriz riesgos de gestión'!$T$45),"")</f>
        <v/>
      </c>
      <c r="X21" s="143" t="str">
        <f>IF(AND('Matriz riesgos de gestión'!$AD$46="Alta",'Matriz riesgos de gestión'!$AF$46="Moderado"),CONCATENATE("R6C",'Matriz riesgos de gestión'!$T$46),"")</f>
        <v/>
      </c>
      <c r="Y21" s="143" t="str">
        <f>IF(AND('Matriz riesgos de gestión'!$AD$47="Alta",'Matriz riesgos de gestión'!$AF$47="Moderado"),CONCATENATE("R6C",'Matriz riesgos de gestión'!$T$47),"")</f>
        <v/>
      </c>
      <c r="Z21" s="143" t="str">
        <f>IF(AND('Matriz riesgos de gestión'!$AD$48="Alta",'Matriz riesgos de gestión'!$AF$48="Moderado"),CONCATENATE("R6C",'Matriz riesgos de gestión'!$T$48),"")</f>
        <v/>
      </c>
      <c r="AA21" s="144" t="str">
        <f>IF(AND('Matriz riesgos de gestión'!$AD$49="Alta",'Matriz riesgos de gestión'!$AF$49="Moderado"),CONCATENATE("R6C",'Matriz riesgos de gestión'!$T$49),"")</f>
        <v/>
      </c>
      <c r="AB21" s="142" t="str">
        <f>IF(AND('Matriz riesgos de gestión'!$AD$44="Alta",'Matriz riesgos de gestión'!$AF$44="Mayor"),CONCATENATE("R6C",'Matriz riesgos de gestión'!$T$44),"")</f>
        <v/>
      </c>
      <c r="AC21" s="143" t="str">
        <f>IF(AND('Matriz riesgos de gestión'!$AD$45="Alta",'Matriz riesgos de gestión'!$AF$45="Mayor"),CONCATENATE("R6C",'Matriz riesgos de gestión'!$T$45),"")</f>
        <v/>
      </c>
      <c r="AD21" s="143" t="str">
        <f>IF(AND('Matriz riesgos de gestión'!$AD$46="Alta",'Matriz riesgos de gestión'!$AF$46="Mayor"),CONCATENATE("R6C",'Matriz riesgos de gestión'!$T$46),"")</f>
        <v/>
      </c>
      <c r="AE21" s="143" t="str">
        <f>IF(AND('Matriz riesgos de gestión'!$AD$47="Alta",'Matriz riesgos de gestión'!$AF$47="Mayor"),CONCATENATE("R6C",'Matriz riesgos de gestión'!$T$47),"")</f>
        <v/>
      </c>
      <c r="AF21" s="143" t="str">
        <f>IF(AND('Matriz riesgos de gestión'!$AD$48="Alta",'Matriz riesgos de gestión'!$AF$48="Mayor"),CONCATENATE("R6C",'Matriz riesgos de gestión'!$T$48),"")</f>
        <v/>
      </c>
      <c r="AG21" s="144" t="str">
        <f>IF(AND('Matriz riesgos de gestión'!$AD$49="Alta",'Matriz riesgos de gestión'!$AF$49="Mayor"),CONCATENATE("R6C",'Matriz riesgos de gestión'!$T$49),"")</f>
        <v/>
      </c>
      <c r="AH21" s="145" t="str">
        <f>IF(AND('Matriz riesgos de gestión'!$AD$44="Alta",'Matriz riesgos de gestión'!$AF$44="Catastrófico"),CONCATENATE("R6C",'Matriz riesgos de gestión'!$T$44),"")</f>
        <v/>
      </c>
      <c r="AI21" s="146" t="str">
        <f>IF(AND('Matriz riesgos de gestión'!$AD$45="Alta",'Matriz riesgos de gestión'!$AF$45="Catastrófico"),CONCATENATE("R6C",'Matriz riesgos de gestión'!$T$45),"")</f>
        <v/>
      </c>
      <c r="AJ21" s="146" t="str">
        <f>IF(AND('Matriz riesgos de gestión'!$AD$46="Alta",'Matriz riesgos de gestión'!$AF$46="Catastrófico"),CONCATENATE("R6C",'Matriz riesgos de gestión'!$T$46),"")</f>
        <v/>
      </c>
      <c r="AK21" s="146" t="str">
        <f>IF(AND('Matriz riesgos de gestión'!$AD$47="Alta",'Matriz riesgos de gestión'!$AF$47="Catastrófico"),CONCATENATE("R6C",'Matriz riesgos de gestión'!$T$47),"")</f>
        <v/>
      </c>
      <c r="AL21" s="146" t="str">
        <f>IF(AND('Matriz riesgos de gestión'!$AD$48="Alta",'Matriz riesgos de gestión'!$AF$48="Catastrófico"),CONCATENATE("R6C",'Matriz riesgos de gestión'!$T$48),"")</f>
        <v/>
      </c>
      <c r="AM21" s="147" t="str">
        <f>IF(AND('Matriz riesgos de gestión'!$AD$49="Alta",'Matriz riesgos de gestión'!$AF$49="Catastrófico"),CONCATENATE("R6C",'Matriz riesgos de gestión'!$T$49),"")</f>
        <v/>
      </c>
      <c r="AN21" s="115"/>
      <c r="AO21" s="684"/>
      <c r="AP21" s="670"/>
      <c r="AQ21" s="670"/>
      <c r="AR21" s="670"/>
      <c r="AS21" s="670"/>
      <c r="AT21" s="685"/>
      <c r="AU21" s="115"/>
      <c r="AV21" s="115"/>
      <c r="AW21" s="115"/>
      <c r="AX21" s="115"/>
      <c r="AY21" s="115"/>
      <c r="AZ21" s="115"/>
      <c r="BA21" s="115"/>
      <c r="BB21" s="115"/>
      <c r="BC21" s="115"/>
      <c r="BD21" s="115"/>
      <c r="BE21" s="115"/>
      <c r="BF21" s="115"/>
      <c r="BG21" s="115"/>
      <c r="BH21" s="115"/>
      <c r="BI21" s="115"/>
    </row>
    <row r="22" spans="1:61" ht="15" customHeight="1" x14ac:dyDescent="0.25">
      <c r="A22" s="115"/>
      <c r="B22" s="654"/>
      <c r="C22" s="670"/>
      <c r="D22" s="653"/>
      <c r="E22" s="659"/>
      <c r="F22" s="670"/>
      <c r="G22" s="670"/>
      <c r="H22" s="670"/>
      <c r="I22" s="670"/>
      <c r="J22" s="154" t="str">
        <f>IF(AND('Matriz riesgos de gestión'!$AD$50="Alta",'Matriz riesgos de gestión'!$AF$50="Leve"),CONCATENATE("R7C",'Matriz riesgos de gestión'!$T$50),"")</f>
        <v/>
      </c>
      <c r="K22" s="155" t="str">
        <f>IF(AND('Matriz riesgos de gestión'!$AD$51="Alta",'Matriz riesgos de gestión'!$AF$51="Leve"),CONCATENATE("R7C",'Matriz riesgos de gestión'!$T$51),"")</f>
        <v/>
      </c>
      <c r="L22" s="155" t="str">
        <f>IF(AND('Matriz riesgos de gestión'!$AD$52="Alta",'Matriz riesgos de gestión'!$AF$52="Leve"),CONCATENATE("R7C",'Matriz riesgos de gestión'!$T$52),"")</f>
        <v/>
      </c>
      <c r="M22" s="155" t="str">
        <f>IF(AND('Matriz riesgos de gestión'!$AD$53="Alta",'Matriz riesgos de gestión'!$AF$53="Leve"),CONCATENATE("R7C",'Matriz riesgos de gestión'!$T$53),"")</f>
        <v/>
      </c>
      <c r="N22" s="155" t="str">
        <f>IF(AND('Matriz riesgos de gestión'!$AD$54="Alta",'Matriz riesgos de gestión'!$AF$54="Leve"),CONCATENATE("R7C",'Matriz riesgos de gestión'!$T$54),"")</f>
        <v/>
      </c>
      <c r="O22" s="156" t="str">
        <f>IF(AND('Matriz riesgos de gestión'!$AD$55="Alta",'Matriz riesgos de gestión'!$AF$55="Leve"),CONCATENATE("R7C",'Matriz riesgos de gestión'!$T$55),"")</f>
        <v/>
      </c>
      <c r="P22" s="154" t="str">
        <f>IF(AND('Matriz riesgos de gestión'!$AD$50="Alta",'Matriz riesgos de gestión'!$AF$50="Menor"),CONCATENATE("R7C",'Matriz riesgos de gestión'!$T$50),"")</f>
        <v/>
      </c>
      <c r="Q22" s="155" t="str">
        <f>IF(AND('Matriz riesgos de gestión'!$AD$51="Alta",'Matriz riesgos de gestión'!$AF$51="Menor"),CONCATENATE("R7C",'Matriz riesgos de gestión'!$T$51),"")</f>
        <v/>
      </c>
      <c r="R22" s="155" t="str">
        <f>IF(AND('Matriz riesgos de gestión'!$AD$52="Alta",'Matriz riesgos de gestión'!$AF$52="Menor"),CONCATENATE("R7C",'Matriz riesgos de gestión'!$T$52),"")</f>
        <v/>
      </c>
      <c r="S22" s="155" t="str">
        <f>IF(AND('Matriz riesgos de gestión'!$AD$53="Alta",'Matriz riesgos de gestión'!$AF$53="Menor"),CONCATENATE("R7C",'Matriz riesgos de gestión'!$T$53),"")</f>
        <v/>
      </c>
      <c r="T22" s="155" t="str">
        <f>IF(AND('Matriz riesgos de gestión'!$AD$54="Alta",'Matriz riesgos de gestión'!$AF$54="Menor"),CONCATENATE("R7C",'Matriz riesgos de gestión'!$T$54),"")</f>
        <v/>
      </c>
      <c r="U22" s="156" t="str">
        <f>IF(AND('Matriz riesgos de gestión'!$AD$55="Alta",'Matriz riesgos de gestión'!$AF$55="Menor"),CONCATENATE("R7C",'Matriz riesgos de gestión'!$T$55),"")</f>
        <v/>
      </c>
      <c r="V22" s="142" t="str">
        <f>IF(AND('Matriz riesgos de gestión'!$AD$50="Alta",'Matriz riesgos de gestión'!$AF$50="Moderado"),CONCATENATE("R7C",'Matriz riesgos de gestión'!$T$50),"")</f>
        <v/>
      </c>
      <c r="W22" s="143" t="str">
        <f>IF(AND('Matriz riesgos de gestión'!$AD$51="Alta",'Matriz riesgos de gestión'!$AF$51="Moderado"),CONCATENATE("R7C",'Matriz riesgos de gestión'!$T$51),"")</f>
        <v/>
      </c>
      <c r="X22" s="143" t="str">
        <f>IF(AND('Matriz riesgos de gestión'!$AD$52="Alta",'Matriz riesgos de gestión'!$AF$52="Moderado"),CONCATENATE("R7C",'Matriz riesgos de gestión'!$T$52),"")</f>
        <v/>
      </c>
      <c r="Y22" s="143" t="str">
        <f>IF(AND('Matriz riesgos de gestión'!$AD$53="Alta",'Matriz riesgos de gestión'!$AF$53="Moderado"),CONCATENATE("R7C",'Matriz riesgos de gestión'!$T$53),"")</f>
        <v/>
      </c>
      <c r="Z22" s="143" t="str">
        <f>IF(AND('Matriz riesgos de gestión'!$AD$54="Alta",'Matriz riesgos de gestión'!$AF$54="Moderado"),CONCATENATE("R7C",'Matriz riesgos de gestión'!$T$54),"")</f>
        <v/>
      </c>
      <c r="AA22" s="144" t="str">
        <f>IF(AND('Matriz riesgos de gestión'!$AD$55="Alta",'Matriz riesgos de gestión'!$AF$55="Moderado"),CONCATENATE("R7C",'Matriz riesgos de gestión'!$T$55),"")</f>
        <v/>
      </c>
      <c r="AB22" s="142" t="str">
        <f>IF(AND('Matriz riesgos de gestión'!$AD$50="Alta",'Matriz riesgos de gestión'!$AF$50="Mayor"),CONCATENATE("R7C",'Matriz riesgos de gestión'!$T$50),"")</f>
        <v/>
      </c>
      <c r="AC22" s="143" t="str">
        <f>IF(AND('Matriz riesgos de gestión'!$AD$51="Alta",'Matriz riesgos de gestión'!$AF$51="Mayor"),CONCATENATE("R7C",'Matriz riesgos de gestión'!$T$51),"")</f>
        <v/>
      </c>
      <c r="AD22" s="143" t="str">
        <f>IF(AND('Matriz riesgos de gestión'!$AD$52="Alta",'Matriz riesgos de gestión'!$AF$52="Mayor"),CONCATENATE("R7C",'Matriz riesgos de gestión'!$T$52),"")</f>
        <v/>
      </c>
      <c r="AE22" s="143" t="str">
        <f>IF(AND('Matriz riesgos de gestión'!$AD$53="Alta",'Matriz riesgos de gestión'!$AF$53="Mayor"),CONCATENATE("R7C",'Matriz riesgos de gestión'!$T$53),"")</f>
        <v/>
      </c>
      <c r="AF22" s="143" t="str">
        <f>IF(AND('Matriz riesgos de gestión'!$AD$54="Alta",'Matriz riesgos de gestión'!$AF$54="Mayor"),CONCATENATE("R7C",'Matriz riesgos de gestión'!$T$54),"")</f>
        <v/>
      </c>
      <c r="AG22" s="144" t="str">
        <f>IF(AND('Matriz riesgos de gestión'!$AD$55="Alta",'Matriz riesgos de gestión'!$AF$55="Mayor"),CONCATENATE("R7C",'Matriz riesgos de gestión'!$T$55),"")</f>
        <v/>
      </c>
      <c r="AH22" s="145" t="str">
        <f>IF(AND('Matriz riesgos de gestión'!$AD$50="Alta",'Matriz riesgos de gestión'!$AF$50="Catastrófico"),CONCATENATE("R7C",'Matriz riesgos de gestión'!$T$50),"")</f>
        <v/>
      </c>
      <c r="AI22" s="146" t="str">
        <f>IF(AND('Matriz riesgos de gestión'!$AD$51="Alta",'Matriz riesgos de gestión'!$AF$51="Catastrófico"),CONCATENATE("R7C",'Matriz riesgos de gestión'!$T$51),"")</f>
        <v/>
      </c>
      <c r="AJ22" s="146" t="str">
        <f>IF(AND('Matriz riesgos de gestión'!$AD$52="Alta",'Matriz riesgos de gestión'!$AF$52="Catastrófico"),CONCATENATE("R7C",'Matriz riesgos de gestión'!$T$52),"")</f>
        <v/>
      </c>
      <c r="AK22" s="146" t="str">
        <f>IF(AND('Matriz riesgos de gestión'!$AD$53="Alta",'Matriz riesgos de gestión'!$AF$53="Catastrófico"),CONCATENATE("R7C",'Matriz riesgos de gestión'!$T$53),"")</f>
        <v/>
      </c>
      <c r="AL22" s="146" t="str">
        <f>IF(AND('Matriz riesgos de gestión'!$AD$54="Alta",'Matriz riesgos de gestión'!$AF$54="Catastrófico"),CONCATENATE("R7C",'Matriz riesgos de gestión'!$T$54),"")</f>
        <v/>
      </c>
      <c r="AM22" s="147" t="str">
        <f>IF(AND('Matriz riesgos de gestión'!$AD$55="Alta",'Matriz riesgos de gestión'!$AF$55="Catastrófico"),CONCATENATE("R7C",'Matriz riesgos de gestión'!$T$55),"")</f>
        <v/>
      </c>
      <c r="AN22" s="115"/>
      <c r="AO22" s="684"/>
      <c r="AP22" s="670"/>
      <c r="AQ22" s="670"/>
      <c r="AR22" s="670"/>
      <c r="AS22" s="670"/>
      <c r="AT22" s="685"/>
      <c r="AU22" s="115"/>
      <c r="AV22" s="115"/>
      <c r="AW22" s="115"/>
      <c r="AX22" s="115"/>
      <c r="AY22" s="115"/>
      <c r="AZ22" s="115"/>
      <c r="BA22" s="115"/>
      <c r="BB22" s="115"/>
      <c r="BC22" s="115"/>
      <c r="BD22" s="115"/>
      <c r="BE22" s="115"/>
      <c r="BF22" s="115"/>
      <c r="BG22" s="115"/>
      <c r="BH22" s="115"/>
      <c r="BI22" s="115"/>
    </row>
    <row r="23" spans="1:61" ht="15" customHeight="1" x14ac:dyDescent="0.25">
      <c r="A23" s="115"/>
      <c r="B23" s="654"/>
      <c r="C23" s="670"/>
      <c r="D23" s="653"/>
      <c r="E23" s="659"/>
      <c r="F23" s="670"/>
      <c r="G23" s="670"/>
      <c r="H23" s="670"/>
      <c r="I23" s="670"/>
      <c r="J23" s="154" t="str">
        <f>IF(AND('Matriz riesgos de gestión'!$AD$56="Alta",'Matriz riesgos de gestión'!$AF$56="Leve"),CONCATENATE("R8C",'Matriz riesgos de gestión'!$T$56),"")</f>
        <v/>
      </c>
      <c r="K23" s="155" t="str">
        <f>IF(AND('Matriz riesgos de gestión'!$AD$57="Alta",'Matriz riesgos de gestión'!$AF$57="Leve"),CONCATENATE("R8C",'Matriz riesgos de gestión'!$T$57),"")</f>
        <v/>
      </c>
      <c r="L23" s="155" t="str">
        <f>IF(AND('Matriz riesgos de gestión'!$AD$58="Alta",'Matriz riesgos de gestión'!$AF$58="Leve"),CONCATENATE("R8C",'Matriz riesgos de gestión'!$T$58),"")</f>
        <v/>
      </c>
      <c r="M23" s="155" t="str">
        <f>IF(AND('Matriz riesgos de gestión'!$AD$59="Alta",'Matriz riesgos de gestión'!$AF$59="Leve"),CONCATENATE("R8C",'Matriz riesgos de gestión'!$T$59),"")</f>
        <v/>
      </c>
      <c r="N23" s="155" t="str">
        <f>IF(AND('Matriz riesgos de gestión'!$AD$60="Alta",'Matriz riesgos de gestión'!$AF$60="Leve"),CONCATENATE("R8C",'Matriz riesgos de gestión'!$T$60),"")</f>
        <v/>
      </c>
      <c r="O23" s="156" t="str">
        <f>IF(AND('Matriz riesgos de gestión'!$AD$61="Alta",'Matriz riesgos de gestión'!$AF$61="Leve"),CONCATENATE("R8C",'Matriz riesgos de gestión'!$T$61),"")</f>
        <v/>
      </c>
      <c r="P23" s="154" t="str">
        <f>IF(AND('Matriz riesgos de gestión'!$AD$56="Alta",'Matriz riesgos de gestión'!$AF$56="Menor"),CONCATENATE("R8C",'Matriz riesgos de gestión'!$T$56),"")</f>
        <v/>
      </c>
      <c r="Q23" s="155" t="str">
        <f>IF(AND('Matriz riesgos de gestión'!$AD$57="Alta",'Matriz riesgos de gestión'!$AF$57="Menor"),CONCATENATE("R8C",'Matriz riesgos de gestión'!$T$57),"")</f>
        <v/>
      </c>
      <c r="R23" s="155" t="str">
        <f>IF(AND('Matriz riesgos de gestión'!$AD$58="Alta",'Matriz riesgos de gestión'!$AF$58="Menor"),CONCATENATE("R8C",'Matriz riesgos de gestión'!$T$58),"")</f>
        <v/>
      </c>
      <c r="S23" s="155" t="str">
        <f>IF(AND('Matriz riesgos de gestión'!$AD$59="Alta",'Matriz riesgos de gestión'!$AF$59="Menor"),CONCATENATE("R8C",'Matriz riesgos de gestión'!$T$59),"")</f>
        <v/>
      </c>
      <c r="T23" s="155" t="str">
        <f>IF(AND('Matriz riesgos de gestión'!$AD$60="Alta",'Matriz riesgos de gestión'!$AF$60="Menor"),CONCATENATE("R8C",'Matriz riesgos de gestión'!$T$60),"")</f>
        <v/>
      </c>
      <c r="U23" s="156" t="str">
        <f>IF(AND('Matriz riesgos de gestión'!$AD$61="Alta",'Matriz riesgos de gestión'!$AF$61="Menor"),CONCATENATE("R8C",'Matriz riesgos de gestión'!$T$61),"")</f>
        <v/>
      </c>
      <c r="V23" s="142" t="str">
        <f>IF(AND('Matriz riesgos de gestión'!$AD$56="Alta",'Matriz riesgos de gestión'!$AF$56="Moderado"),CONCATENATE("R8C",'Matriz riesgos de gestión'!$T$56),"")</f>
        <v/>
      </c>
      <c r="W23" s="143" t="str">
        <f>IF(AND('Matriz riesgos de gestión'!$AD$57="Alta",'Matriz riesgos de gestión'!$AF$57="Moderado"),CONCATENATE("R8C",'Matriz riesgos de gestión'!$T$57),"")</f>
        <v/>
      </c>
      <c r="X23" s="143" t="str">
        <f>IF(AND('Matriz riesgos de gestión'!$AD$58="Alta",'Matriz riesgos de gestión'!$AF$58="Moderado"),CONCATENATE("R8C",'Matriz riesgos de gestión'!$T$58),"")</f>
        <v/>
      </c>
      <c r="Y23" s="143" t="str">
        <f>IF(AND('Matriz riesgos de gestión'!$AD$59="Alta",'Matriz riesgos de gestión'!$AF$59="Moderado"),CONCATENATE("R8C",'Matriz riesgos de gestión'!$T$59),"")</f>
        <v/>
      </c>
      <c r="Z23" s="143" t="str">
        <f>IF(AND('Matriz riesgos de gestión'!$AD$60="Alta",'Matriz riesgos de gestión'!$AF$60="Moderado"),CONCATENATE("R8C",'Matriz riesgos de gestión'!$T$60),"")</f>
        <v/>
      </c>
      <c r="AA23" s="144" t="str">
        <f>IF(AND('Matriz riesgos de gestión'!$AD$61="Alta",'Matriz riesgos de gestión'!$AF$61="Moderado"),CONCATENATE("R8C",'Matriz riesgos de gestión'!$T$61),"")</f>
        <v/>
      </c>
      <c r="AB23" s="142" t="str">
        <f>IF(AND('Matriz riesgos de gestión'!$AD$56="Alta",'Matriz riesgos de gestión'!$AF$56="Mayor"),CONCATENATE("R8C",'Matriz riesgos de gestión'!$T$56),"")</f>
        <v/>
      </c>
      <c r="AC23" s="143" t="str">
        <f>IF(AND('Matriz riesgos de gestión'!$AD$57="Alta",'Matriz riesgos de gestión'!$AF$57="Mayor"),CONCATENATE("R8C",'Matriz riesgos de gestión'!$T$57),"")</f>
        <v/>
      </c>
      <c r="AD23" s="143" t="str">
        <f>IF(AND('Matriz riesgos de gestión'!$AD$58="Alta",'Matriz riesgos de gestión'!$AF$58="Mayor"),CONCATENATE("R8C",'Matriz riesgos de gestión'!$T$58),"")</f>
        <v/>
      </c>
      <c r="AE23" s="143" t="str">
        <f>IF(AND('Matriz riesgos de gestión'!$AD$59="Alta",'Matriz riesgos de gestión'!$AF$59="Mayor"),CONCATENATE("R8C",'Matriz riesgos de gestión'!$T$59),"")</f>
        <v/>
      </c>
      <c r="AF23" s="143" t="str">
        <f>IF(AND('Matriz riesgos de gestión'!$AD$60="Alta",'Matriz riesgos de gestión'!$AF$60="Mayor"),CONCATENATE("R8C",'Matriz riesgos de gestión'!$T$60),"")</f>
        <v/>
      </c>
      <c r="AG23" s="144" t="str">
        <f>IF(AND('Matriz riesgos de gestión'!$AD$61="Alta",'Matriz riesgos de gestión'!$AF$61="Mayor"),CONCATENATE("R8C",'Matriz riesgos de gestión'!$T$61),"")</f>
        <v/>
      </c>
      <c r="AH23" s="145" t="str">
        <f>IF(AND('Matriz riesgos de gestión'!$AD$56="Alta",'Matriz riesgos de gestión'!$AF$56="Catastrófico"),CONCATENATE("R8C",'Matriz riesgos de gestión'!$T$56),"")</f>
        <v/>
      </c>
      <c r="AI23" s="146" t="str">
        <f>IF(AND('Matriz riesgos de gestión'!$AD$57="Alta",'Matriz riesgos de gestión'!$AF$57="Catastrófico"),CONCATENATE("R8C",'Matriz riesgos de gestión'!$T$57),"")</f>
        <v/>
      </c>
      <c r="AJ23" s="146" t="str">
        <f>IF(AND('Matriz riesgos de gestión'!$AD$58="Alta",'Matriz riesgos de gestión'!$AF$58="Catastrófico"),CONCATENATE("R8C",'Matriz riesgos de gestión'!$T$58),"")</f>
        <v/>
      </c>
      <c r="AK23" s="146" t="str">
        <f>IF(AND('Matriz riesgos de gestión'!$AD$59="Alta",'Matriz riesgos de gestión'!$AF$59="Catastrófico"),CONCATENATE("R8C",'Matriz riesgos de gestión'!$T$59),"")</f>
        <v/>
      </c>
      <c r="AL23" s="146" t="str">
        <f>IF(AND('Matriz riesgos de gestión'!$AD$60="Alta",'Matriz riesgos de gestión'!$AF$60="Catastrófico"),CONCATENATE("R8C",'Matriz riesgos de gestión'!$T$60),"")</f>
        <v/>
      </c>
      <c r="AM23" s="147" t="str">
        <f>IF(AND('Matriz riesgos de gestión'!$AD$61="Alta",'Matriz riesgos de gestión'!$AF$61="Catastrófico"),CONCATENATE("R8C",'Matriz riesgos de gestión'!$T$61),"")</f>
        <v/>
      </c>
      <c r="AN23" s="115"/>
      <c r="AO23" s="684"/>
      <c r="AP23" s="670"/>
      <c r="AQ23" s="670"/>
      <c r="AR23" s="670"/>
      <c r="AS23" s="670"/>
      <c r="AT23" s="685"/>
      <c r="AU23" s="115"/>
      <c r="AV23" s="115"/>
      <c r="AW23" s="115"/>
      <c r="AX23" s="115"/>
      <c r="AY23" s="115"/>
      <c r="AZ23" s="115"/>
      <c r="BA23" s="115"/>
      <c r="BB23" s="115"/>
      <c r="BC23" s="115"/>
      <c r="BD23" s="115"/>
      <c r="BE23" s="115"/>
      <c r="BF23" s="115"/>
      <c r="BG23" s="115"/>
      <c r="BH23" s="115"/>
      <c r="BI23" s="115"/>
    </row>
    <row r="24" spans="1:61" ht="15" customHeight="1" x14ac:dyDescent="0.25">
      <c r="A24" s="115"/>
      <c r="B24" s="654"/>
      <c r="C24" s="670"/>
      <c r="D24" s="653"/>
      <c r="E24" s="659"/>
      <c r="F24" s="670"/>
      <c r="G24" s="670"/>
      <c r="H24" s="670"/>
      <c r="I24" s="670"/>
      <c r="J24" s="154" t="str">
        <f>IF(AND('Matriz riesgos de gestión'!$AD$62="Alta",'Matriz riesgos de gestión'!$AF$62="Leve"),CONCATENATE("R9C",'Matriz riesgos de gestión'!$T$62),"")</f>
        <v/>
      </c>
      <c r="K24" s="155" t="str">
        <f>IF(AND('Matriz riesgos de gestión'!$AD$63="Alta",'Matriz riesgos de gestión'!$AF$63="Leve"),CONCATENATE("R9C",'Matriz riesgos de gestión'!$T$63),"")</f>
        <v/>
      </c>
      <c r="L24" s="155" t="str">
        <f>IF(AND('Matriz riesgos de gestión'!$AD$64="Alta",'Matriz riesgos de gestión'!$AF$64="Leve"),CONCATENATE("R9C",'Matriz riesgos de gestión'!$T$64),"")</f>
        <v/>
      </c>
      <c r="M24" s="155" t="str">
        <f>IF(AND('Matriz riesgos de gestión'!$AD$65="Alta",'Matriz riesgos de gestión'!$AF$65="Leve"),CONCATENATE("R9C",'Matriz riesgos de gestión'!$T$65),"")</f>
        <v/>
      </c>
      <c r="N24" s="155" t="str">
        <f>IF(AND('Matriz riesgos de gestión'!$AD$66="Alta",'Matriz riesgos de gestión'!$AF$66="Leve"),CONCATENATE("R9C",'Matriz riesgos de gestión'!$T$66),"")</f>
        <v/>
      </c>
      <c r="O24" s="156" t="str">
        <f>IF(AND('Matriz riesgos de gestión'!$AD$67="Alta",'Matriz riesgos de gestión'!$AF$67="Leve"),CONCATENATE("R9C",'Matriz riesgos de gestión'!$T$67),"")</f>
        <v/>
      </c>
      <c r="P24" s="154" t="str">
        <f>IF(AND('Matriz riesgos de gestión'!$AD$62="Alta",'Matriz riesgos de gestión'!$AF$62="Menor"),CONCATENATE("R9C",'Matriz riesgos de gestión'!$T$62),"")</f>
        <v/>
      </c>
      <c r="Q24" s="155" t="str">
        <f>IF(AND('Matriz riesgos de gestión'!$AD$63="Alta",'Matriz riesgos de gestión'!$AF$63="Menor"),CONCATENATE("R9C",'Matriz riesgos de gestión'!$T$63),"")</f>
        <v/>
      </c>
      <c r="R24" s="155" t="str">
        <f>IF(AND('Matriz riesgos de gestión'!$AD$64="Alta",'Matriz riesgos de gestión'!$AF$64="Menor"),CONCATENATE("R9C",'Matriz riesgos de gestión'!$T$64),"")</f>
        <v/>
      </c>
      <c r="S24" s="155" t="str">
        <f>IF(AND('Matriz riesgos de gestión'!$AD$65="Alta",'Matriz riesgos de gestión'!$AF$65="Menor"),CONCATENATE("R9C",'Matriz riesgos de gestión'!$T$65),"")</f>
        <v/>
      </c>
      <c r="T24" s="155" t="str">
        <f>IF(AND('Matriz riesgos de gestión'!$AD$66="Alta",'Matriz riesgos de gestión'!$AF$66="Menor"),CONCATENATE("R9C",'Matriz riesgos de gestión'!$T$66),"")</f>
        <v/>
      </c>
      <c r="U24" s="156" t="str">
        <f>IF(AND('Matriz riesgos de gestión'!$AD$67="Alta",'Matriz riesgos de gestión'!$AF$67="Menor"),CONCATENATE("R9C",'Matriz riesgos de gestión'!$T$67),"")</f>
        <v/>
      </c>
      <c r="V24" s="142" t="str">
        <f>IF(AND('Matriz riesgos de gestión'!$AD$62="Alta",'Matriz riesgos de gestión'!$AF$62="Moderado"),CONCATENATE("R9C",'Matriz riesgos de gestión'!$T$62),"")</f>
        <v/>
      </c>
      <c r="W24" s="143" t="str">
        <f>IF(AND('Matriz riesgos de gestión'!$AD$63="Alta",'Matriz riesgos de gestión'!$AF$63="Moderado"),CONCATENATE("R9C",'Matriz riesgos de gestión'!$T$63),"")</f>
        <v/>
      </c>
      <c r="X24" s="143" t="str">
        <f>IF(AND('Matriz riesgos de gestión'!$AD$64="Alta",'Matriz riesgos de gestión'!$AF$64="Moderado"),CONCATENATE("R9C",'Matriz riesgos de gestión'!$T$64),"")</f>
        <v/>
      </c>
      <c r="Y24" s="143" t="str">
        <f>IF(AND('Matriz riesgos de gestión'!$AD$65="Alta",'Matriz riesgos de gestión'!$AF$65="Moderado"),CONCATENATE("R9C",'Matriz riesgos de gestión'!$T$65),"")</f>
        <v/>
      </c>
      <c r="Z24" s="143" t="str">
        <f>IF(AND('Matriz riesgos de gestión'!$AD$66="Alta",'Matriz riesgos de gestión'!$AF$66="Moderado"),CONCATENATE("R9C",'Matriz riesgos de gestión'!$T$66),"")</f>
        <v/>
      </c>
      <c r="AA24" s="144" t="str">
        <f>IF(AND('Matriz riesgos de gestión'!$AD$67="Alta",'Matriz riesgos de gestión'!$AF$67="Moderado"),CONCATENATE("R9C",'Matriz riesgos de gestión'!$T$67),"")</f>
        <v/>
      </c>
      <c r="AB24" s="142" t="str">
        <f>IF(AND('Matriz riesgos de gestión'!$AD$62="Alta",'Matriz riesgos de gestión'!$AF$62="Mayor"),CONCATENATE("R9C",'Matriz riesgos de gestión'!$T$62),"")</f>
        <v/>
      </c>
      <c r="AC24" s="143" t="str">
        <f>IF(AND('Matriz riesgos de gestión'!$AD$63="Alta",'Matriz riesgos de gestión'!$AF$63="Mayor"),CONCATENATE("R9C",'Matriz riesgos de gestión'!$T$63),"")</f>
        <v/>
      </c>
      <c r="AD24" s="143" t="str">
        <f>IF(AND('Matriz riesgos de gestión'!$AD$64="Alta",'Matriz riesgos de gestión'!$AF$64="Mayor"),CONCATENATE("R9C",'Matriz riesgos de gestión'!$T$64),"")</f>
        <v/>
      </c>
      <c r="AE24" s="143" t="str">
        <f>IF(AND('Matriz riesgos de gestión'!$AD$65="Alta",'Matriz riesgos de gestión'!$AF$65="Mayor"),CONCATENATE("R9C",'Matriz riesgos de gestión'!$T$65),"")</f>
        <v/>
      </c>
      <c r="AF24" s="143" t="str">
        <f>IF(AND('Matriz riesgos de gestión'!$AD$66="Alta",'Matriz riesgos de gestión'!$AF$66="Mayor"),CONCATENATE("R9C",'Matriz riesgos de gestión'!$T$66),"")</f>
        <v/>
      </c>
      <c r="AG24" s="144" t="str">
        <f>IF(AND('Matriz riesgos de gestión'!$AD$67="Alta",'Matriz riesgos de gestión'!$AF$67="Mayor"),CONCATENATE("R9C",'Matriz riesgos de gestión'!$T$67),"")</f>
        <v/>
      </c>
      <c r="AH24" s="145" t="str">
        <f>IF(AND('Matriz riesgos de gestión'!$AD$62="Alta",'Matriz riesgos de gestión'!$AF$62="Catastrófico"),CONCATENATE("R9C",'Matriz riesgos de gestión'!$T$62),"")</f>
        <v/>
      </c>
      <c r="AI24" s="146" t="str">
        <f>IF(AND('Matriz riesgos de gestión'!$AD$63="Alta",'Matriz riesgos de gestión'!$AF$63="Catastrófico"),CONCATENATE("R9C",'Matriz riesgos de gestión'!$T$63),"")</f>
        <v/>
      </c>
      <c r="AJ24" s="146" t="str">
        <f>IF(AND('Matriz riesgos de gestión'!$AD$64="Alta",'Matriz riesgos de gestión'!$AF$64="Catastrófico"),CONCATENATE("R9C",'Matriz riesgos de gestión'!$T$64),"")</f>
        <v/>
      </c>
      <c r="AK24" s="146" t="str">
        <f>IF(AND('Matriz riesgos de gestión'!$AD$65="Alta",'Matriz riesgos de gestión'!$AF$65="Catastrófico"),CONCATENATE("R9C",'Matriz riesgos de gestión'!$T$65),"")</f>
        <v/>
      </c>
      <c r="AL24" s="146" t="str">
        <f>IF(AND('Matriz riesgos de gestión'!$AD$66="Alta",'Matriz riesgos de gestión'!$AF$66="Catastrófico"),CONCATENATE("R9C",'Matriz riesgos de gestión'!$T$66),"")</f>
        <v/>
      </c>
      <c r="AM24" s="147" t="str">
        <f>IF(AND('Matriz riesgos de gestión'!$AD$67="Alta",'Matriz riesgos de gestión'!$AF$67="Catastrófico"),CONCATENATE("R9C",'Matriz riesgos de gestión'!$T$67),"")</f>
        <v/>
      </c>
      <c r="AN24" s="115"/>
      <c r="AO24" s="684"/>
      <c r="AP24" s="670"/>
      <c r="AQ24" s="670"/>
      <c r="AR24" s="670"/>
      <c r="AS24" s="670"/>
      <c r="AT24" s="685"/>
      <c r="AU24" s="115"/>
      <c r="AV24" s="115"/>
      <c r="AW24" s="115"/>
      <c r="AX24" s="115"/>
      <c r="AY24" s="115"/>
      <c r="AZ24" s="115"/>
      <c r="BA24" s="115"/>
      <c r="BB24" s="115"/>
      <c r="BC24" s="115"/>
      <c r="BD24" s="115"/>
      <c r="BE24" s="115"/>
      <c r="BF24" s="115"/>
      <c r="BG24" s="115"/>
      <c r="BH24" s="115"/>
      <c r="BI24" s="115"/>
    </row>
    <row r="25" spans="1:61" ht="15.75" customHeight="1" x14ac:dyDescent="0.25">
      <c r="A25" s="115"/>
      <c r="B25" s="654"/>
      <c r="C25" s="670"/>
      <c r="D25" s="653"/>
      <c r="E25" s="671"/>
      <c r="F25" s="672"/>
      <c r="G25" s="672"/>
      <c r="H25" s="672"/>
      <c r="I25" s="672"/>
      <c r="J25" s="157" t="str">
        <f>IF(AND('Matriz riesgos de gestión'!$AD$68="Alta",'Matriz riesgos de gestión'!$AF$68="Leve"),CONCATENATE("R10C",'Matriz riesgos de gestión'!$T$68),"")</f>
        <v/>
      </c>
      <c r="K25" s="158" t="str">
        <f>IF(AND('Matriz riesgos de gestión'!$AD$69="Alta",'Matriz riesgos de gestión'!$AF$69="Leve"),CONCATENATE("R10C",'Matriz riesgos de gestión'!$T$69),"")</f>
        <v/>
      </c>
      <c r="L25" s="158" t="str">
        <f>IF(AND('Matriz riesgos de gestión'!$AD$70="Alta",'Matriz riesgos de gestión'!$AF$70="Leve"),CONCATENATE("R10C",'Matriz riesgos de gestión'!$T$70),"")</f>
        <v/>
      </c>
      <c r="M25" s="158" t="str">
        <f>IF(AND('Matriz riesgos de gestión'!$AD$71="Alta",'Matriz riesgos de gestión'!$AF$71="Leve"),CONCATENATE("R10C",'Matriz riesgos de gestión'!$T$71),"")</f>
        <v/>
      </c>
      <c r="N25" s="158" t="str">
        <f>IF(AND('Matriz riesgos de gestión'!$AD$72="Alta",'Matriz riesgos de gestión'!$AF$72="Leve"),CONCATENATE("R10C",'Matriz riesgos de gestión'!$T$72),"")</f>
        <v/>
      </c>
      <c r="O25" s="159" t="str">
        <f>IF(AND('Matriz riesgos de gestión'!$AD$73="Alta",'Matriz riesgos de gestión'!$AF$73="Leve"),CONCATENATE("R10C",'Matriz riesgos de gestión'!$T$73),"")</f>
        <v/>
      </c>
      <c r="P25" s="157" t="str">
        <f>IF(AND('Matriz riesgos de gestión'!$AD$68="Alta",'Matriz riesgos de gestión'!$AF$68="Menor"),CONCATENATE("R10C",'Matriz riesgos de gestión'!$T$68),"")</f>
        <v/>
      </c>
      <c r="Q25" s="158" t="str">
        <f>IF(AND('Matriz riesgos de gestión'!$AD$69="Alta",'Matriz riesgos de gestión'!$AF$69="Menor"),CONCATENATE("R10C",'Matriz riesgos de gestión'!$T$69),"")</f>
        <v/>
      </c>
      <c r="R25" s="158" t="str">
        <f>IF(AND('Matriz riesgos de gestión'!$AD$70="Alta",'Matriz riesgos de gestión'!$AF$70="Menor"),CONCATENATE("R10C",'Matriz riesgos de gestión'!$T$70),"")</f>
        <v/>
      </c>
      <c r="S25" s="158" t="str">
        <f>IF(AND('Matriz riesgos de gestión'!$AD$71="Alta",'Matriz riesgos de gestión'!$AF$71="Menor"),CONCATENATE("R10C",'Matriz riesgos de gestión'!$T$71),"")</f>
        <v/>
      </c>
      <c r="T25" s="158" t="str">
        <f>IF(AND('Matriz riesgos de gestión'!$AD$72="Alta",'Matriz riesgos de gestión'!$AF$72="Menor"),CONCATENATE("R10C",'Matriz riesgos de gestión'!$T$72),"")</f>
        <v/>
      </c>
      <c r="U25" s="159" t="str">
        <f>IF(AND('Matriz riesgos de gestión'!$AD$73="Alta",'Matriz riesgos de gestión'!$AF$73="Menor"),CONCATENATE("R10C",'Matriz riesgos de gestión'!$T$73),"")</f>
        <v/>
      </c>
      <c r="V25" s="148" t="str">
        <f>IF(AND('Matriz riesgos de gestión'!$AD$68="Alta",'Matriz riesgos de gestión'!$AF$68="Moderado"),CONCATENATE("R10C",'Matriz riesgos de gestión'!$T$68),"")</f>
        <v/>
      </c>
      <c r="W25" s="149" t="str">
        <f>IF(AND('Matriz riesgos de gestión'!$AD$69="Alta",'Matriz riesgos de gestión'!$AF$69="Moderado"),CONCATENATE("R10C",'Matriz riesgos de gestión'!$T$69),"")</f>
        <v/>
      </c>
      <c r="X25" s="149" t="str">
        <f>IF(AND('Matriz riesgos de gestión'!$AD$70="Alta",'Matriz riesgos de gestión'!$AF$70="Moderado"),CONCATENATE("R10C",'Matriz riesgos de gestión'!$T$70),"")</f>
        <v/>
      </c>
      <c r="Y25" s="149" t="str">
        <f>IF(AND('Matriz riesgos de gestión'!$AD$71="Alta",'Matriz riesgos de gestión'!$AF$71="Moderado"),CONCATENATE("R10C",'Matriz riesgos de gestión'!$T$71),"")</f>
        <v/>
      </c>
      <c r="Z25" s="149" t="str">
        <f>IF(AND('Matriz riesgos de gestión'!$AD$72="Alta",'Matriz riesgos de gestión'!$AF$72="Moderado"),CONCATENATE("R10C",'Matriz riesgos de gestión'!$T$72),"")</f>
        <v/>
      </c>
      <c r="AA25" s="150" t="str">
        <f>IF(AND('Matriz riesgos de gestión'!$AD$73="Alta",'Matriz riesgos de gestión'!$AF$73="Moderado"),CONCATENATE("R10C",'Matriz riesgos de gestión'!$T$73),"")</f>
        <v/>
      </c>
      <c r="AB25" s="148" t="str">
        <f>IF(AND('Matriz riesgos de gestión'!$AD$68="Alta",'Matriz riesgos de gestión'!$AF$68="Mayor"),CONCATENATE("R10C",'Matriz riesgos de gestión'!$T$68),"")</f>
        <v/>
      </c>
      <c r="AC25" s="149" t="str">
        <f>IF(AND('Matriz riesgos de gestión'!$AD$69="Alta",'Matriz riesgos de gestión'!$AF$69="Mayor"),CONCATENATE("R10C",'Matriz riesgos de gestión'!$T$69),"")</f>
        <v/>
      </c>
      <c r="AD25" s="149" t="str">
        <f>IF(AND('Matriz riesgos de gestión'!$AD$70="Alta",'Matriz riesgos de gestión'!$AF$70="Mayor"),CONCATENATE("R10C",'Matriz riesgos de gestión'!$T$70),"")</f>
        <v/>
      </c>
      <c r="AE25" s="149" t="str">
        <f>IF(AND('Matriz riesgos de gestión'!$AD$71="Alta",'Matriz riesgos de gestión'!$AF$71="Mayor"),CONCATENATE("R10C",'Matriz riesgos de gestión'!$T$71),"")</f>
        <v/>
      </c>
      <c r="AF25" s="149" t="str">
        <f>IF(AND('Matriz riesgos de gestión'!$AD$72="Alta",'Matriz riesgos de gestión'!$AF$72="Mayor"),CONCATENATE("R10C",'Matriz riesgos de gestión'!$T$72),"")</f>
        <v/>
      </c>
      <c r="AG25" s="150" t="str">
        <f>IF(AND('Matriz riesgos de gestión'!$AD$73="Alta",'Matriz riesgos de gestión'!$AF$73="Mayor"),CONCATENATE("R10C",'Matriz riesgos de gestión'!$T$73),"")</f>
        <v/>
      </c>
      <c r="AH25" s="151" t="str">
        <f>IF(AND('Matriz riesgos de gestión'!$AD$68="Alta",'Matriz riesgos de gestión'!$AF$68="Catastrófico"),CONCATENATE("R10C",'Matriz riesgos de gestión'!$T$68),"")</f>
        <v/>
      </c>
      <c r="AI25" s="152" t="str">
        <f>IF(AND('Matriz riesgos de gestión'!$AD$69="Alta",'Matriz riesgos de gestión'!$AF$69="Catastrófico"),CONCATENATE("R10C",'Matriz riesgos de gestión'!$T$69),"")</f>
        <v/>
      </c>
      <c r="AJ25" s="152" t="str">
        <f>IF(AND('Matriz riesgos de gestión'!$AD$70="Alta",'Matriz riesgos de gestión'!$AF$70="Catastrófico"),CONCATENATE("R10C",'Matriz riesgos de gestión'!$T$70),"")</f>
        <v/>
      </c>
      <c r="AK25" s="152" t="str">
        <f>IF(AND('Matriz riesgos de gestión'!$AD$71="Alta",'Matriz riesgos de gestión'!$AF$71="Catastrófico"),CONCATENATE("R10C",'Matriz riesgos de gestión'!$T$71),"")</f>
        <v/>
      </c>
      <c r="AL25" s="152" t="str">
        <f>IF(AND('Matriz riesgos de gestión'!$AD$72="Alta",'Matriz riesgos de gestión'!$AF$72="Catastrófico"),CONCATENATE("R10C",'Matriz riesgos de gestión'!$T$72),"")</f>
        <v/>
      </c>
      <c r="AM25" s="153" t="str">
        <f>IF(AND('Matriz riesgos de gestión'!$AD$73="Alta",'Matriz riesgos de gestión'!$AF$73="Catastrófico"),CONCATENATE("R10C",'Matriz riesgos de gestión'!$T$73),"")</f>
        <v/>
      </c>
      <c r="AN25" s="115"/>
      <c r="AO25" s="686"/>
      <c r="AP25" s="687"/>
      <c r="AQ25" s="687"/>
      <c r="AR25" s="687"/>
      <c r="AS25" s="687"/>
      <c r="AT25" s="688"/>
      <c r="AU25" s="115"/>
      <c r="AV25" s="115"/>
      <c r="AW25" s="115"/>
      <c r="AX25" s="115"/>
      <c r="AY25" s="115"/>
      <c r="AZ25" s="115"/>
      <c r="BA25" s="115"/>
      <c r="BB25" s="115"/>
      <c r="BC25" s="115"/>
      <c r="BD25" s="115"/>
      <c r="BE25" s="115"/>
      <c r="BF25" s="115"/>
      <c r="BG25" s="115"/>
      <c r="BH25" s="115"/>
      <c r="BI25" s="115"/>
    </row>
    <row r="26" spans="1:61" ht="15" customHeight="1" x14ac:dyDescent="0.25">
      <c r="A26" s="115"/>
      <c r="B26" s="654"/>
      <c r="C26" s="670"/>
      <c r="D26" s="653"/>
      <c r="E26" s="693" t="s">
        <v>7</v>
      </c>
      <c r="F26" s="656"/>
      <c r="G26" s="656"/>
      <c r="H26" s="656"/>
      <c r="I26" s="657"/>
      <c r="J26" s="25" t="str">
        <f>IF(AND('Matriz riesgos de gestión'!$AD$4="Media",'Matriz riesgos de gestión'!$AF$4="Leve"),CONCATENATE("R1C",'Matriz riesgos de gestión'!$T$4),"")</f>
        <v/>
      </c>
      <c r="K26" s="26" t="str">
        <f>IF(AND('Matriz riesgos de gestión'!$AD$5="Media",'Matriz riesgos de gestión'!$AF$5="Leve"),CONCATENATE("R1C",'Matriz riesgos de gestión'!$T$5),"")</f>
        <v/>
      </c>
      <c r="L26" s="26" t="str">
        <f>IF(AND('Matriz riesgos de gestión'!$AD$6="Media",'Matriz riesgos de gestión'!$AF$6="Leve"),CONCATENATE("R1C",'Matriz riesgos de gestión'!$T$6),"")</f>
        <v/>
      </c>
      <c r="M26" s="26" t="str">
        <f>IF(AND('Matriz riesgos de gestión'!$AD$7="Media",'Matriz riesgos de gestión'!$AF$7="Leve"),CONCATENATE("R1C",'Matriz riesgos de gestión'!$T$7),"")</f>
        <v/>
      </c>
      <c r="N26" s="26" t="str">
        <f>IF(AND('Matriz riesgos de gestión'!$AD$8="Media",'Matriz riesgos de gestión'!$AF$8="Leve"),CONCATENATE("R1C",'Matriz riesgos de gestión'!$T$8),"")</f>
        <v/>
      </c>
      <c r="O26" s="27" t="str">
        <f>IF(AND('Matriz riesgos de gestión'!$AD$9="Media",'Matriz riesgos de gestión'!$AF$9="Leve"),CONCATENATE("R1C",'Matriz riesgos de gestión'!$T$9),"")</f>
        <v/>
      </c>
      <c r="P26" s="25" t="str">
        <f>IF(AND('Matriz riesgos de gestión'!$AD$4="Media",'Matriz riesgos de gestión'!$AF$4="Menor"),CONCATENATE("R1C",'Matriz riesgos de gestión'!$T$4),"")</f>
        <v/>
      </c>
      <c r="Q26" s="26" t="str">
        <f>IF(AND('Matriz riesgos de gestión'!$AD$5="Media",'Matriz riesgos de gestión'!$AF$5="Menor"),CONCATENATE("R1C",'Matriz riesgos de gestión'!$T$5),"")</f>
        <v/>
      </c>
      <c r="R26" s="26" t="str">
        <f>IF(AND('Matriz riesgos de gestión'!$AD$6="Media",'Matriz riesgos de gestión'!$AF$6="Menor"),CONCATENATE("R1C",'Matriz riesgos de gestión'!$T$6),"")</f>
        <v/>
      </c>
      <c r="S26" s="26" t="str">
        <f>IF(AND('Matriz riesgos de gestión'!$AD$7="Media",'Matriz riesgos de gestión'!$AF$7="Menor"),CONCATENATE("R1C",'Matriz riesgos de gestión'!$T$7),"")</f>
        <v/>
      </c>
      <c r="T26" s="26" t="str">
        <f>IF(AND('Matriz riesgos de gestión'!$AD$8="Media",'Matriz riesgos de gestión'!$AF$8="Menor"),CONCATENATE("R1C",'Matriz riesgos de gestión'!$T$8),"")</f>
        <v/>
      </c>
      <c r="U26" s="27" t="str">
        <f>IF(AND('Matriz riesgos de gestión'!$AD$9="Media",'Matriz riesgos de gestión'!$AF$9="Menor"),CONCATENATE("R1C",'Matriz riesgos de gestión'!$T$9),"")</f>
        <v/>
      </c>
      <c r="V26" s="25" t="str">
        <f>IF(AND('Matriz riesgos de gestión'!$AD$4="Media",'Matriz riesgos de gestión'!$AF$4="Moderado"),CONCATENATE("R1C",'Matriz riesgos de gestión'!$T$4),"")</f>
        <v/>
      </c>
      <c r="W26" s="26" t="str">
        <f>IF(AND('Matriz riesgos de gestión'!$AD$5="Media",'Matriz riesgos de gestión'!$AF$5="Moderado"),CONCATENATE("R1C",'Matriz riesgos de gestión'!$T$5),"")</f>
        <v/>
      </c>
      <c r="X26" s="26" t="str">
        <f>IF(AND('Matriz riesgos de gestión'!$AD$6="Media",'Matriz riesgos de gestión'!$AF$6="Moderado"),CONCATENATE("R1C",'Matriz riesgos de gestión'!$T$6),"")</f>
        <v/>
      </c>
      <c r="Y26" s="26" t="str">
        <f>IF(AND('Matriz riesgos de gestión'!$AD$7="Media",'Matriz riesgos de gestión'!$AF$7="Moderado"),CONCATENATE("R1C",'Matriz riesgos de gestión'!$T$7),"")</f>
        <v/>
      </c>
      <c r="Z26" s="26" t="str">
        <f>IF(AND('Matriz riesgos de gestión'!$AD$8="Media",'Matriz riesgos de gestión'!$AF$8="Moderado"),CONCATENATE("R1C",'Matriz riesgos de gestión'!$T$8),"")</f>
        <v/>
      </c>
      <c r="AA26" s="27" t="str">
        <f>IF(AND('Matriz riesgos de gestión'!$AD$9="Media",'Matriz riesgos de gestión'!$AF$9="Moderado"),CONCATENATE("R1C",'Matriz riesgos de gestión'!$T$9),"")</f>
        <v/>
      </c>
      <c r="AB26" s="19" t="str">
        <f>IF(AND('Matriz riesgos de gestión'!$AD$4="Media",'Matriz riesgos de gestión'!$AF$4="Mayor"),CONCATENATE("R1C",'Matriz riesgos de gestión'!$T$4),"")</f>
        <v/>
      </c>
      <c r="AC26" s="20" t="str">
        <f>IF(AND('Matriz riesgos de gestión'!$AD$5="Media",'Matriz riesgos de gestión'!$AF$5="Mayor"),CONCATENATE("R1C",'Matriz riesgos de gestión'!$T$5),"")</f>
        <v/>
      </c>
      <c r="AD26" s="20" t="str">
        <f>IF(AND('Matriz riesgos de gestión'!$AD$6="Media",'Matriz riesgos de gestión'!$AF$6="Mayor"),CONCATENATE("R1C",'Matriz riesgos de gestión'!$T$6),"")</f>
        <v/>
      </c>
      <c r="AE26" s="20" t="str">
        <f>IF(AND('Matriz riesgos de gestión'!$AD$7="Media",'Matriz riesgos de gestión'!$AF$7="Mayor"),CONCATENATE("R1C",'Matriz riesgos de gestión'!$T$7),"")</f>
        <v/>
      </c>
      <c r="AF26" s="20" t="str">
        <f>IF(AND('Matriz riesgos de gestión'!$AD$8="Media",'Matriz riesgos de gestión'!$AF$8="Mayor"),CONCATENATE("R1C",'Matriz riesgos de gestión'!$T$8),"")</f>
        <v/>
      </c>
      <c r="AG26" s="21" t="str">
        <f>IF(AND('Matriz riesgos de gestión'!$AD$9="Media",'Matriz riesgos de gestión'!$AF$9="Mayor"),CONCATENATE("R1C",'Matriz riesgos de gestión'!$T$9),"")</f>
        <v/>
      </c>
      <c r="AH26" s="22" t="str">
        <f>IF(AND('Matriz riesgos de gestión'!$AD$4="Media",'Matriz riesgos de gestión'!$AF$4="Catastrófico"),CONCATENATE("R1C",'Matriz riesgos de gestión'!$T$4),"")</f>
        <v/>
      </c>
      <c r="AI26" s="23" t="str">
        <f>IF(AND('Matriz riesgos de gestión'!$AD$5="Media",'Matriz riesgos de gestión'!$AF$5="Catastrófico"),CONCATENATE("R1C",'Matriz riesgos de gestión'!$T$5),"")</f>
        <v/>
      </c>
      <c r="AJ26" s="23" t="str">
        <f>IF(AND('Matriz riesgos de gestión'!$AD$6="Media",'Matriz riesgos de gestión'!$AF$6="Catastrófico"),CONCATENATE("R1C",'Matriz riesgos de gestión'!$T$6),"")</f>
        <v/>
      </c>
      <c r="AK26" s="23" t="str">
        <f>IF(AND('Matriz riesgos de gestión'!$AD$7="Media",'Matriz riesgos de gestión'!$AF$7="Catastrófico"),CONCATENATE("R1C",'Matriz riesgos de gestión'!$T$7),"")</f>
        <v/>
      </c>
      <c r="AL26" s="23" t="str">
        <f>IF(AND('Matriz riesgos de gestión'!$AD$8="Media",'Matriz riesgos de gestión'!$AF$8="Catastrófico"),CONCATENATE("R1C",'Matriz riesgos de gestión'!$T$8),"")</f>
        <v/>
      </c>
      <c r="AM26" s="24" t="str">
        <f>IF(AND('Matriz riesgos de gestión'!$AD$9="Media",'Matriz riesgos de gestión'!$AF$9="Catastrófico"),CONCATENATE("R1C",'Matriz riesgos de gestión'!$T$9),"")</f>
        <v/>
      </c>
      <c r="AN26" s="115"/>
      <c r="AO26" s="695" t="s">
        <v>8</v>
      </c>
      <c r="AP26" s="682"/>
      <c r="AQ26" s="682"/>
      <c r="AR26" s="682"/>
      <c r="AS26" s="682"/>
      <c r="AT26" s="683"/>
      <c r="AU26" s="115"/>
      <c r="AV26" s="115"/>
      <c r="AW26" s="115"/>
      <c r="AX26" s="115"/>
      <c r="AY26" s="115"/>
      <c r="AZ26" s="115"/>
      <c r="BA26" s="115"/>
      <c r="BB26" s="115"/>
      <c r="BC26" s="115"/>
      <c r="BD26" s="115"/>
      <c r="BE26" s="115"/>
      <c r="BF26" s="115"/>
      <c r="BG26" s="115"/>
      <c r="BH26" s="115"/>
      <c r="BI26" s="115"/>
    </row>
    <row r="27" spans="1:61" ht="15" customHeight="1" x14ac:dyDescent="0.25">
      <c r="A27" s="115"/>
      <c r="B27" s="654"/>
      <c r="C27" s="670"/>
      <c r="D27" s="653"/>
      <c r="E27" s="659"/>
      <c r="F27" s="670"/>
      <c r="G27" s="670"/>
      <c r="H27" s="670"/>
      <c r="I27" s="653"/>
      <c r="J27" s="154" t="str">
        <f>IF(AND('Matriz riesgos de gestión'!$AD$15="Media",'Matriz riesgos de gestión'!$AF$15="Leve"),CONCATENATE("R2C",'Matriz riesgos de gestión'!$T$15),"")</f>
        <v/>
      </c>
      <c r="K27" s="155" t="str">
        <f>IF(AND('Matriz riesgos de gestión'!$AD$16="Media",'Matriz riesgos de gestión'!$AF$16="Leve"),CONCATENATE("R2C",'Matriz riesgos de gestión'!$T$16),"")</f>
        <v/>
      </c>
      <c r="L27" s="155" t="str">
        <f>IF(AND('Matriz riesgos de gestión'!$AD$17="Media",'Matriz riesgos de gestión'!$AF$17="Leve"),CONCATENATE("R2C",'Matriz riesgos de gestión'!$T$17),"")</f>
        <v/>
      </c>
      <c r="M27" s="155" t="str">
        <f>IF(AND('Matriz riesgos de gestión'!$AD$22="Media",'Matriz riesgos de gestión'!$AF$22="Leve"),CONCATENATE("R2C",'Matriz riesgos de gestión'!$T$22),"")</f>
        <v/>
      </c>
      <c r="N27" s="155" t="str">
        <f>IF(AND('Matriz riesgos de gestión'!$AD$23="Media",'Matriz riesgos de gestión'!$AF$23="Leve"),CONCATENATE("R2C",'Matriz riesgos de gestión'!$T$23),"")</f>
        <v/>
      </c>
      <c r="O27" s="156" t="str">
        <f>IF(AND('Matriz riesgos de gestión'!$AD$24="Media",'Matriz riesgos de gestión'!$AF$24="Leve"),CONCATENATE("R2C",'Matriz riesgos de gestión'!$T$24),"")</f>
        <v/>
      </c>
      <c r="P27" s="154" t="str">
        <f>IF(AND('Matriz riesgos de gestión'!$AD$15="Media",'Matriz riesgos de gestión'!$AF$15="Menor"),CONCATENATE("R2C",'Matriz riesgos de gestión'!$T$15),"")</f>
        <v/>
      </c>
      <c r="Q27" s="155" t="str">
        <f>IF(AND('Matriz riesgos de gestión'!$AD$16="Media",'Matriz riesgos de gestión'!$AF$16="Menor"),CONCATENATE("R2C",'Matriz riesgos de gestión'!$T$16),"")</f>
        <v/>
      </c>
      <c r="R27" s="155" t="str">
        <f>IF(AND('Matriz riesgos de gestión'!$AD$17="Media",'Matriz riesgos de gestión'!$AF$17="Menor"),CONCATENATE("R2C",'Matriz riesgos de gestión'!$T$17),"")</f>
        <v/>
      </c>
      <c r="S27" s="155" t="str">
        <f>IF(AND('Matriz riesgos de gestión'!$AD$22="Media",'Matriz riesgos de gestión'!$AF$22="Menor"),CONCATENATE("R2C",'Matriz riesgos de gestión'!$T$22),"")</f>
        <v/>
      </c>
      <c r="T27" s="155" t="str">
        <f>IF(AND('Matriz riesgos de gestión'!$AD$23="Media",'Matriz riesgos de gestión'!$AF$23="Menor"),CONCATENATE("R2C",'Matriz riesgos de gestión'!$T$23),"")</f>
        <v/>
      </c>
      <c r="U27" s="156" t="str">
        <f>IF(AND('Matriz riesgos de gestión'!$AD$24="Media",'Matriz riesgos de gestión'!$AF$24="Menor"),CONCATENATE("R2C",'Matriz riesgos de gestión'!$T$24),"")</f>
        <v/>
      </c>
      <c r="V27" s="154" t="str">
        <f>IF(AND('Matriz riesgos de gestión'!$AD$15="Media",'Matriz riesgos de gestión'!$AF$15="Moderado"),CONCATENATE("R2C",'Matriz riesgos de gestión'!$T$15),"")</f>
        <v/>
      </c>
      <c r="W27" s="155" t="str">
        <f>IF(AND('Matriz riesgos de gestión'!$AD$16="Media",'Matriz riesgos de gestión'!$AF$16="Moderado"),CONCATENATE("R2C",'Matriz riesgos de gestión'!$T$16),"")</f>
        <v/>
      </c>
      <c r="X27" s="155" t="str">
        <f>IF(AND('Matriz riesgos de gestión'!$AD$17="Media",'Matriz riesgos de gestión'!$AF$17="Moderado"),CONCATENATE("R2C",'Matriz riesgos de gestión'!$T$17),"")</f>
        <v/>
      </c>
      <c r="Y27" s="155" t="str">
        <f>IF(AND('Matriz riesgos de gestión'!$AD$22="Media",'Matriz riesgos de gestión'!$AF$22="Moderado"),CONCATENATE("R2C",'Matriz riesgos de gestión'!$T$22),"")</f>
        <v/>
      </c>
      <c r="Z27" s="155" t="str">
        <f>IF(AND('Matriz riesgos de gestión'!$AD$23="Media",'Matriz riesgos de gestión'!$AF$23="Moderado"),CONCATENATE("R2C",'Matriz riesgos de gestión'!$T$23),"")</f>
        <v/>
      </c>
      <c r="AA27" s="156" t="str">
        <f>IF(AND('Matriz riesgos de gestión'!$AD$24="Media",'Matriz riesgos de gestión'!$AF$24="Moderado"),CONCATENATE("R2C",'Matriz riesgos de gestión'!$T$24),"")</f>
        <v/>
      </c>
      <c r="AB27" s="142" t="str">
        <f>IF(AND('Matriz riesgos de gestión'!$AD$15="Media",'Matriz riesgos de gestión'!$AF$15="Mayor"),CONCATENATE("R2C",'Matriz riesgos de gestión'!$T$15),"")</f>
        <v/>
      </c>
      <c r="AC27" s="143" t="str">
        <f>IF(AND('Matriz riesgos de gestión'!$AD$16="Media",'Matriz riesgos de gestión'!$AF$16="Mayor"),CONCATENATE("R2C",'Matriz riesgos de gestión'!$T$16),"")</f>
        <v/>
      </c>
      <c r="AD27" s="143" t="str">
        <f>IF(AND('Matriz riesgos de gestión'!$AD$17="Media",'Matriz riesgos de gestión'!$AF$17="Mayor"),CONCATENATE("R2C",'Matriz riesgos de gestión'!$T$17),"")</f>
        <v/>
      </c>
      <c r="AE27" s="143" t="str">
        <f>IF(AND('Matriz riesgos de gestión'!$AD$22="Media",'Matriz riesgos de gestión'!$AF$22="Mayor"),CONCATENATE("R2C",'Matriz riesgos de gestión'!$T$22),"")</f>
        <v/>
      </c>
      <c r="AF27" s="143" t="str">
        <f>IF(AND('Matriz riesgos de gestión'!$AD$23="Media",'Matriz riesgos de gestión'!$AF$23="Mayor"),CONCATENATE("R2C",'Matriz riesgos de gestión'!$T$23),"")</f>
        <v/>
      </c>
      <c r="AG27" s="144" t="str">
        <f>IF(AND('Matriz riesgos de gestión'!$AD$24="Media",'Matriz riesgos de gestión'!$AF$24="Mayor"),CONCATENATE("R2C",'Matriz riesgos de gestión'!$T$24),"")</f>
        <v/>
      </c>
      <c r="AH27" s="145" t="str">
        <f>IF(AND('Matriz riesgos de gestión'!$AD$15="Media",'Matriz riesgos de gestión'!$AF$15="Catastrófico"),CONCATENATE("R2C",'Matriz riesgos de gestión'!$T$15),"")</f>
        <v/>
      </c>
      <c r="AI27" s="146" t="str">
        <f>IF(AND('Matriz riesgos de gestión'!$AD$16="Media",'Matriz riesgos de gestión'!$AF$16="Catastrófico"),CONCATENATE("R2C",'Matriz riesgos de gestión'!$T$16),"")</f>
        <v/>
      </c>
      <c r="AJ27" s="146" t="str">
        <f>IF(AND('Matriz riesgos de gestión'!$AD$17="Media",'Matriz riesgos de gestión'!$AF$17="Catastrófico"),CONCATENATE("R2C",'Matriz riesgos de gestión'!$T$17),"")</f>
        <v/>
      </c>
      <c r="AK27" s="146" t="str">
        <f>IF(AND('Matriz riesgos de gestión'!$AD$22="Media",'Matriz riesgos de gestión'!$AF$22="Catastrófico"),CONCATENATE("R2C",'Matriz riesgos de gestión'!$T$22),"")</f>
        <v/>
      </c>
      <c r="AL27" s="146" t="str">
        <f>IF(AND('Matriz riesgos de gestión'!$AD$23="Media",'Matriz riesgos de gestión'!$AF$23="Catastrófico"),CONCATENATE("R2C",'Matriz riesgos de gestión'!$T$23),"")</f>
        <v/>
      </c>
      <c r="AM27" s="147" t="str">
        <f>IF(AND('Matriz riesgos de gestión'!$AD$24="Media",'Matriz riesgos de gestión'!$AF$24="Catastrófico"),CONCATENATE("R2C",'Matriz riesgos de gestión'!$T$24),"")</f>
        <v/>
      </c>
      <c r="AN27" s="115"/>
      <c r="AO27" s="684"/>
      <c r="AP27" s="670"/>
      <c r="AQ27" s="670"/>
      <c r="AR27" s="670"/>
      <c r="AS27" s="670"/>
      <c r="AT27" s="685"/>
      <c r="AU27" s="115"/>
      <c r="AV27" s="115"/>
      <c r="AW27" s="115"/>
      <c r="AX27" s="115"/>
      <c r="AY27" s="115"/>
      <c r="AZ27" s="115"/>
      <c r="BA27" s="115"/>
      <c r="BB27" s="115"/>
      <c r="BC27" s="115"/>
      <c r="BD27" s="115"/>
      <c r="BE27" s="115"/>
      <c r="BF27" s="115"/>
      <c r="BG27" s="115"/>
      <c r="BH27" s="115"/>
      <c r="BI27" s="115"/>
    </row>
    <row r="28" spans="1:61" ht="15" customHeight="1" x14ac:dyDescent="0.25">
      <c r="A28" s="115"/>
      <c r="B28" s="654"/>
      <c r="C28" s="670"/>
      <c r="D28" s="653"/>
      <c r="E28" s="659"/>
      <c r="F28" s="670"/>
      <c r="G28" s="670"/>
      <c r="H28" s="670"/>
      <c r="I28" s="653"/>
      <c r="J28" s="154" t="str">
        <f>IF(AND('Matriz riesgos de gestión'!$AD$25="Media",'Matriz riesgos de gestión'!$AF$25="Leve"),CONCATENATE("R3C",'Matriz riesgos de gestión'!$T$25),"")</f>
        <v/>
      </c>
      <c r="K28" s="155" t="str">
        <f>IF(AND('Matriz riesgos de gestión'!$AD$26="Media",'Matriz riesgos de gestión'!$AF$26="Leve"),CONCATENATE("R3C",'Matriz riesgos de gestión'!$T$26),"")</f>
        <v/>
      </c>
      <c r="L28" s="155" t="str">
        <f>IF(AND('Matriz riesgos de gestión'!$AD$27="Media",'Matriz riesgos de gestión'!$AF$27="Leve"),CONCATENATE("R3C",'Matriz riesgos de gestión'!$T$27),"")</f>
        <v/>
      </c>
      <c r="M28" s="155" t="str">
        <f>IF(AND('Matriz riesgos de gestión'!$AD$29="Media",'Matriz riesgos de gestión'!$AF$29="Leve"),CONCATENATE("R3C",'Matriz riesgos de gestión'!$T$29),"")</f>
        <v/>
      </c>
      <c r="N28" s="155" t="str">
        <f>IF(AND('Matriz riesgos de gestión'!$AD$30="Media",'Matriz riesgos de gestión'!$AF$30="Leve"),CONCATENATE("R3C",'Matriz riesgos de gestión'!$T$30),"")</f>
        <v/>
      </c>
      <c r="O28" s="156" t="str">
        <f>IF(AND('Matriz riesgos de gestión'!$AD$31="Media",'Matriz riesgos de gestión'!$AF$31="Leve"),CONCATENATE("R3C",'Matriz riesgos de gestión'!$T$31),"")</f>
        <v/>
      </c>
      <c r="P28" s="154" t="str">
        <f>IF(AND('Matriz riesgos de gestión'!$AD$25="Media",'Matriz riesgos de gestión'!$AF$25="Menor"),CONCATENATE("R3C",'Matriz riesgos de gestión'!$T$25),"")</f>
        <v/>
      </c>
      <c r="Q28" s="155" t="str">
        <f>IF(AND('Matriz riesgos de gestión'!$AD$26="Media",'Matriz riesgos de gestión'!$AF$26="Menor"),CONCATENATE("R3C",'Matriz riesgos de gestión'!$T$26),"")</f>
        <v/>
      </c>
      <c r="R28" s="155" t="str">
        <f>IF(AND('Matriz riesgos de gestión'!$AD$27="Media",'Matriz riesgos de gestión'!$AF$27="Menor"),CONCATENATE("R3C",'Matriz riesgos de gestión'!$T$27),"")</f>
        <v/>
      </c>
      <c r="S28" s="155" t="str">
        <f>IF(AND('Matriz riesgos de gestión'!$AD$29="Media",'Matriz riesgos de gestión'!$AF$29="Menor"),CONCATENATE("R3C",'Matriz riesgos de gestión'!$T$29),"")</f>
        <v/>
      </c>
      <c r="T28" s="155" t="str">
        <f>IF(AND('Matriz riesgos de gestión'!$AD$30="Media",'Matriz riesgos de gestión'!$AF$30="Menor"),CONCATENATE("R3C",'Matriz riesgos de gestión'!$T$30),"")</f>
        <v/>
      </c>
      <c r="U28" s="156" t="str">
        <f>IF(AND('Matriz riesgos de gestión'!$AD$31="Media",'Matriz riesgos de gestión'!$AF$31="Menor"),CONCATENATE("R3C",'Matriz riesgos de gestión'!$T$31),"")</f>
        <v/>
      </c>
      <c r="V28" s="154" t="str">
        <f>IF(AND('Matriz riesgos de gestión'!$AD$25="Media",'Matriz riesgos de gestión'!$AF$25="Moderado"),CONCATENATE("R3C",'Matriz riesgos de gestión'!$T$25),"")</f>
        <v/>
      </c>
      <c r="W28" s="155" t="str">
        <f>IF(AND('Matriz riesgos de gestión'!$AD$26="Media",'Matriz riesgos de gestión'!$AF$26="Moderado"),CONCATENATE("R3C",'Matriz riesgos de gestión'!$T$26),"")</f>
        <v/>
      </c>
      <c r="X28" s="155" t="str">
        <f>IF(AND('Matriz riesgos de gestión'!$AD$27="Media",'Matriz riesgos de gestión'!$AF$27="Moderado"),CONCATENATE("R3C",'Matriz riesgos de gestión'!$T$27),"")</f>
        <v/>
      </c>
      <c r="Y28" s="155" t="str">
        <f>IF(AND('Matriz riesgos de gestión'!$AD$29="Media",'Matriz riesgos de gestión'!$AF$29="Moderado"),CONCATENATE("R3C",'Matriz riesgos de gestión'!$T$29),"")</f>
        <v/>
      </c>
      <c r="Z28" s="155" t="str">
        <f>IF(AND('Matriz riesgos de gestión'!$AD$30="Media",'Matriz riesgos de gestión'!$AF$30="Moderado"),CONCATENATE("R3C",'Matriz riesgos de gestión'!$T$30),"")</f>
        <v/>
      </c>
      <c r="AA28" s="156" t="str">
        <f>IF(AND('Matriz riesgos de gestión'!$AD$31="Media",'Matriz riesgos de gestión'!$AF$31="Moderado"),CONCATENATE("R3C",'Matriz riesgos de gestión'!$T$31),"")</f>
        <v/>
      </c>
      <c r="AB28" s="142" t="str">
        <f>IF(AND('Matriz riesgos de gestión'!$AD$25="Media",'Matriz riesgos de gestión'!$AF$25="Mayor"),CONCATENATE("R3C",'Matriz riesgos de gestión'!$T$25),"")</f>
        <v/>
      </c>
      <c r="AC28" s="143" t="str">
        <f>IF(AND('Matriz riesgos de gestión'!$AD$26="Media",'Matriz riesgos de gestión'!$AF$26="Mayor"),CONCATENATE("R3C",'Matriz riesgos de gestión'!$T$26),"")</f>
        <v/>
      </c>
      <c r="AD28" s="143" t="str">
        <f>IF(AND('Matriz riesgos de gestión'!$AD$27="Media",'Matriz riesgos de gestión'!$AF$27="Mayor"),CONCATENATE("R3C",'Matriz riesgos de gestión'!$T$27),"")</f>
        <v/>
      </c>
      <c r="AE28" s="143" t="str">
        <f>IF(AND('Matriz riesgos de gestión'!$AD$29="Media",'Matriz riesgos de gestión'!$AF$29="Mayor"),CONCATENATE("R3C",'Matriz riesgos de gestión'!$T$29),"")</f>
        <v/>
      </c>
      <c r="AF28" s="143" t="str">
        <f>IF(AND('Matriz riesgos de gestión'!$AD$30="Media",'Matriz riesgos de gestión'!$AF$30="Mayor"),CONCATENATE("R3C",'Matriz riesgos de gestión'!$T$30),"")</f>
        <v/>
      </c>
      <c r="AG28" s="144" t="str">
        <f>IF(AND('Matriz riesgos de gestión'!$AD$31="Media",'Matriz riesgos de gestión'!$AF$31="Mayor"),CONCATENATE("R3C",'Matriz riesgos de gestión'!$T$31),"")</f>
        <v/>
      </c>
      <c r="AH28" s="145" t="str">
        <f>IF(AND('Matriz riesgos de gestión'!$AD$25="Media",'Matriz riesgos de gestión'!$AF$25="Catastrófico"),CONCATENATE("R3C",'Matriz riesgos de gestión'!$T$25),"")</f>
        <v/>
      </c>
      <c r="AI28" s="146" t="str">
        <f>IF(AND('Matriz riesgos de gestión'!$AD$26="Media",'Matriz riesgos de gestión'!$AF$26="Catastrófico"),CONCATENATE("R3C",'Matriz riesgos de gestión'!$T$26),"")</f>
        <v/>
      </c>
      <c r="AJ28" s="146" t="str">
        <f>IF(AND('Matriz riesgos de gestión'!$AD$27="Media",'Matriz riesgos de gestión'!$AF$27="Catastrófico"),CONCATENATE("R3C",'Matriz riesgos de gestión'!$T$27),"")</f>
        <v/>
      </c>
      <c r="AK28" s="146" t="str">
        <f>IF(AND('Matriz riesgos de gestión'!$AD$29="Media",'Matriz riesgos de gestión'!$AF$29="Catastrófico"),CONCATENATE("R3C",'Matriz riesgos de gestión'!$T$29),"")</f>
        <v/>
      </c>
      <c r="AL28" s="146" t="str">
        <f>IF(AND('Matriz riesgos de gestión'!$AD$30="Media",'Matriz riesgos de gestión'!$AF$30="Catastrófico"),CONCATENATE("R3C",'Matriz riesgos de gestión'!$T$30),"")</f>
        <v/>
      </c>
      <c r="AM28" s="147" t="str">
        <f>IF(AND('Matriz riesgos de gestión'!$AD$31="Media",'Matriz riesgos de gestión'!$AF$31="Catastrófico"),CONCATENATE("R3C",'Matriz riesgos de gestión'!$T$31),"")</f>
        <v/>
      </c>
      <c r="AN28" s="115"/>
      <c r="AO28" s="684"/>
      <c r="AP28" s="670"/>
      <c r="AQ28" s="670"/>
      <c r="AR28" s="670"/>
      <c r="AS28" s="670"/>
      <c r="AT28" s="685"/>
      <c r="AU28" s="115"/>
      <c r="AV28" s="115"/>
      <c r="AW28" s="115"/>
      <c r="AX28" s="115"/>
      <c r="AY28" s="115"/>
      <c r="AZ28" s="115"/>
      <c r="BA28" s="115"/>
      <c r="BB28" s="115"/>
      <c r="BC28" s="115"/>
      <c r="BD28" s="115"/>
      <c r="BE28" s="115"/>
      <c r="BF28" s="115"/>
      <c r="BG28" s="115"/>
      <c r="BH28" s="115"/>
      <c r="BI28" s="115"/>
    </row>
    <row r="29" spans="1:61" ht="15" customHeight="1" x14ac:dyDescent="0.25">
      <c r="A29" s="115"/>
      <c r="B29" s="654"/>
      <c r="C29" s="670"/>
      <c r="D29" s="653"/>
      <c r="E29" s="659"/>
      <c r="F29" s="670"/>
      <c r="G29" s="670"/>
      <c r="H29" s="670"/>
      <c r="I29" s="653"/>
      <c r="J29" s="154" t="str">
        <f>IF(AND('Matriz riesgos de gestión'!$AD$32="Media",'Matriz riesgos de gestión'!$AF$32="Leve"),CONCATENATE("R4C",'Matriz riesgos de gestión'!$T$32),"")</f>
        <v/>
      </c>
      <c r="K29" s="155" t="str">
        <f>IF(AND('Matriz riesgos de gestión'!$AD$33="Media",'Matriz riesgos de gestión'!$AF$33="Leve"),CONCATENATE("R4C",'Matriz riesgos de gestión'!$T$33),"")</f>
        <v/>
      </c>
      <c r="L29" s="155" t="str">
        <f>IF(AND('Matriz riesgos de gestión'!$AD$34="Media",'Matriz riesgos de gestión'!$AF$34="Leve"),CONCATENATE("R4C",'Matriz riesgos de gestión'!$T$34),"")</f>
        <v/>
      </c>
      <c r="M29" s="155" t="str">
        <f>IF(AND('Matriz riesgos de gestión'!$AD$35="Media",'Matriz riesgos de gestión'!$AF$35="Leve"),CONCATENATE("R4C",'Matriz riesgos de gestión'!$T$35),"")</f>
        <v/>
      </c>
      <c r="N29" s="155" t="str">
        <f>IF(AND('Matriz riesgos de gestión'!$AD$36="Media",'Matriz riesgos de gestión'!$AF$36="Leve"),CONCATENATE("R4C",'Matriz riesgos de gestión'!$T$36),"")</f>
        <v/>
      </c>
      <c r="O29" s="156" t="str">
        <f>IF(AND('Matriz riesgos de gestión'!$AD$37="Media",'Matriz riesgos de gestión'!$AF$37="Leve"),CONCATENATE("R4C",'Matriz riesgos de gestión'!$T$37),"")</f>
        <v/>
      </c>
      <c r="P29" s="154" t="str">
        <f>IF(AND('Matriz riesgos de gestión'!$AD$32="Media",'Matriz riesgos de gestión'!$AF$32="Menor"),CONCATENATE("R4C",'Matriz riesgos de gestión'!$T$32),"")</f>
        <v/>
      </c>
      <c r="Q29" s="155" t="str">
        <f>IF(AND('Matriz riesgos de gestión'!$AD$33="Media",'Matriz riesgos de gestión'!$AF$33="Menor"),CONCATENATE("R4C",'Matriz riesgos de gestión'!$T$33),"")</f>
        <v/>
      </c>
      <c r="R29" s="155" t="str">
        <f>IF(AND('Matriz riesgos de gestión'!$AD$34="Media",'Matriz riesgos de gestión'!$AF$34="Menor"),CONCATENATE("R4C",'Matriz riesgos de gestión'!$T$34),"")</f>
        <v/>
      </c>
      <c r="S29" s="155" t="str">
        <f>IF(AND('Matriz riesgos de gestión'!$AD$35="Media",'Matriz riesgos de gestión'!$AF$35="Menor"),CONCATENATE("R4C",'Matriz riesgos de gestión'!$T$35),"")</f>
        <v/>
      </c>
      <c r="T29" s="155" t="str">
        <f>IF(AND('Matriz riesgos de gestión'!$AD$36="Media",'Matriz riesgos de gestión'!$AF$36="Menor"),CONCATENATE("R4C",'Matriz riesgos de gestión'!$T$36),"")</f>
        <v/>
      </c>
      <c r="U29" s="156" t="str">
        <f>IF(AND('Matriz riesgos de gestión'!$AD$37="Media",'Matriz riesgos de gestión'!$AF$37="Menor"),CONCATENATE("R4C",'Matriz riesgos de gestión'!$T$37),"")</f>
        <v/>
      </c>
      <c r="V29" s="154" t="str">
        <f>IF(AND('Matriz riesgos de gestión'!$AD$32="Media",'Matriz riesgos de gestión'!$AF$32="Moderado"),CONCATENATE("R4C",'Matriz riesgos de gestión'!$T$32),"")</f>
        <v/>
      </c>
      <c r="W29" s="155" t="str">
        <f>IF(AND('Matriz riesgos de gestión'!$AD$33="Media",'Matriz riesgos de gestión'!$AF$33="Moderado"),CONCATENATE("R4C",'Matriz riesgos de gestión'!$T$33),"")</f>
        <v/>
      </c>
      <c r="X29" s="155" t="str">
        <f>IF(AND('Matriz riesgos de gestión'!$AD$34="Media",'Matriz riesgos de gestión'!$AF$34="Moderado"),CONCATENATE("R4C",'Matriz riesgos de gestión'!$T$34),"")</f>
        <v/>
      </c>
      <c r="Y29" s="155" t="str">
        <f>IF(AND('Matriz riesgos de gestión'!$AD$35="Media",'Matriz riesgos de gestión'!$AF$35="Moderado"),CONCATENATE("R4C",'Matriz riesgos de gestión'!$T$35),"")</f>
        <v/>
      </c>
      <c r="Z29" s="155" t="str">
        <f>IF(AND('Matriz riesgos de gestión'!$AD$36="Media",'Matriz riesgos de gestión'!$AF$36="Moderado"),CONCATENATE("R4C",'Matriz riesgos de gestión'!$T$36),"")</f>
        <v/>
      </c>
      <c r="AA29" s="156" t="str">
        <f>IF(AND('Matriz riesgos de gestión'!$AD$37="Media",'Matriz riesgos de gestión'!$AF$37="Moderado"),CONCATENATE("R4C",'Matriz riesgos de gestión'!$T$37),"")</f>
        <v/>
      </c>
      <c r="AB29" s="142" t="str">
        <f>IF(AND('Matriz riesgos de gestión'!$AD$32="Media",'Matriz riesgos de gestión'!$AF$32="Mayor"),CONCATENATE("R4C",'Matriz riesgos de gestión'!$T$32),"")</f>
        <v/>
      </c>
      <c r="AC29" s="143" t="str">
        <f>IF(AND('Matriz riesgos de gestión'!$AD$33="Media",'Matriz riesgos de gestión'!$AF$33="Mayor"),CONCATENATE("R4C",'Matriz riesgos de gestión'!$T$33),"")</f>
        <v/>
      </c>
      <c r="AD29" s="143" t="str">
        <f>IF(AND('Matriz riesgos de gestión'!$AD$34="Media",'Matriz riesgos de gestión'!$AF$34="Mayor"),CONCATENATE("R4C",'Matriz riesgos de gestión'!$T$34),"")</f>
        <v/>
      </c>
      <c r="AE29" s="143" t="str">
        <f>IF(AND('Matriz riesgos de gestión'!$AD$35="Media",'Matriz riesgos de gestión'!$AF$35="Mayor"),CONCATENATE("R4C",'Matriz riesgos de gestión'!$T$35),"")</f>
        <v/>
      </c>
      <c r="AF29" s="143" t="str">
        <f>IF(AND('Matriz riesgos de gestión'!$AD$36="Media",'Matriz riesgos de gestión'!$AF$36="Mayor"),CONCATENATE("R4C",'Matriz riesgos de gestión'!$T$36),"")</f>
        <v/>
      </c>
      <c r="AG29" s="144" t="str">
        <f>IF(AND('Matriz riesgos de gestión'!$AD$37="Media",'Matriz riesgos de gestión'!$AF$37="Mayor"),CONCATENATE("R4C",'Matriz riesgos de gestión'!$T$37),"")</f>
        <v/>
      </c>
      <c r="AH29" s="145" t="str">
        <f>IF(AND('Matriz riesgos de gestión'!$AD$32="Media",'Matriz riesgos de gestión'!$AF$32="Catastrófico"),CONCATENATE("R4C",'Matriz riesgos de gestión'!$T$32),"")</f>
        <v/>
      </c>
      <c r="AI29" s="146" t="str">
        <f>IF(AND('Matriz riesgos de gestión'!$AD$33="Media",'Matriz riesgos de gestión'!$AF$33="Catastrófico"),CONCATENATE("R4C",'Matriz riesgos de gestión'!$T$33),"")</f>
        <v/>
      </c>
      <c r="AJ29" s="146" t="str">
        <f>IF(AND('Matriz riesgos de gestión'!$AD$34="Media",'Matriz riesgos de gestión'!$AF$34="Catastrófico"),CONCATENATE("R4C",'Matriz riesgos de gestión'!$T$34),"")</f>
        <v/>
      </c>
      <c r="AK29" s="146" t="str">
        <f>IF(AND('Matriz riesgos de gestión'!$AD$35="Media",'Matriz riesgos de gestión'!$AF$35="Catastrófico"),CONCATENATE("R4C",'Matriz riesgos de gestión'!$T$35),"")</f>
        <v/>
      </c>
      <c r="AL29" s="146" t="str">
        <f>IF(AND('Matriz riesgos de gestión'!$AD$36="Media",'Matriz riesgos de gestión'!$AF$36="Catastrófico"),CONCATENATE("R4C",'Matriz riesgos de gestión'!$T$36),"")</f>
        <v/>
      </c>
      <c r="AM29" s="147" t="str">
        <f>IF(AND('Matriz riesgos de gestión'!$AD$37="Media",'Matriz riesgos de gestión'!$AF$37="Catastrófico"),CONCATENATE("R4C",'Matriz riesgos de gestión'!$T$37),"")</f>
        <v/>
      </c>
      <c r="AN29" s="115"/>
      <c r="AO29" s="684"/>
      <c r="AP29" s="670"/>
      <c r="AQ29" s="670"/>
      <c r="AR29" s="670"/>
      <c r="AS29" s="670"/>
      <c r="AT29" s="685"/>
      <c r="AU29" s="115"/>
      <c r="AV29" s="115"/>
      <c r="AW29" s="115"/>
      <c r="AX29" s="115"/>
      <c r="AY29" s="115"/>
      <c r="AZ29" s="115"/>
      <c r="BA29" s="115"/>
      <c r="BB29" s="115"/>
      <c r="BC29" s="115"/>
      <c r="BD29" s="115"/>
      <c r="BE29" s="115"/>
      <c r="BF29" s="115"/>
      <c r="BG29" s="115"/>
      <c r="BH29" s="115"/>
      <c r="BI29" s="115"/>
    </row>
    <row r="30" spans="1:61" ht="15" customHeight="1" x14ac:dyDescent="0.25">
      <c r="A30" s="115"/>
      <c r="B30" s="654"/>
      <c r="C30" s="670"/>
      <c r="D30" s="653"/>
      <c r="E30" s="659"/>
      <c r="F30" s="670"/>
      <c r="G30" s="670"/>
      <c r="H30" s="670"/>
      <c r="I30" s="653"/>
      <c r="J30" s="154" t="str">
        <f>IF(AND('Matriz riesgos de gestión'!$AD$38="Media",'Matriz riesgos de gestión'!$AF$38="Leve"),CONCATENATE("R5C",'Matriz riesgos de gestión'!$T$38),"")</f>
        <v/>
      </c>
      <c r="K30" s="155" t="str">
        <f>IF(AND('Matriz riesgos de gestión'!$AD$39="Media",'Matriz riesgos de gestión'!$AF$39="Leve"),CONCATENATE("R5C",'Matriz riesgos de gestión'!$T$39),"")</f>
        <v/>
      </c>
      <c r="L30" s="155" t="str">
        <f>IF(AND('Matriz riesgos de gestión'!$AD$40="Media",'Matriz riesgos de gestión'!$AF$40="Leve"),CONCATENATE("R5C",'Matriz riesgos de gestión'!$T$40),"")</f>
        <v/>
      </c>
      <c r="M30" s="155" t="str">
        <f>IF(AND('Matriz riesgos de gestión'!$AD$41="Media",'Matriz riesgos de gestión'!$AF$41="Leve"),CONCATENATE("R5C",'Matriz riesgos de gestión'!$T$41),"")</f>
        <v/>
      </c>
      <c r="N30" s="155" t="str">
        <f>IF(AND('Matriz riesgos de gestión'!$AD$42="Media",'Matriz riesgos de gestión'!$AF$42="Leve"),CONCATENATE("R5C",'Matriz riesgos de gestión'!$T$42),"")</f>
        <v/>
      </c>
      <c r="O30" s="156" t="str">
        <f>IF(AND('Matriz riesgos de gestión'!$AD$43="Media",'Matriz riesgos de gestión'!$AF$43="Leve"),CONCATENATE("R5C",'Matriz riesgos de gestión'!$T$43),"")</f>
        <v/>
      </c>
      <c r="P30" s="154" t="str">
        <f>IF(AND('Matriz riesgos de gestión'!$AD$38="Media",'Matriz riesgos de gestión'!$AF$38="Menor"),CONCATENATE("R5C",'Matriz riesgos de gestión'!$T$38),"")</f>
        <v/>
      </c>
      <c r="Q30" s="155" t="str">
        <f>IF(AND('Matriz riesgos de gestión'!$AD$39="Media",'Matriz riesgos de gestión'!$AF$39="Menor"),CONCATENATE("R5C",'Matriz riesgos de gestión'!$T$39),"")</f>
        <v/>
      </c>
      <c r="R30" s="155" t="str">
        <f>IF(AND('Matriz riesgos de gestión'!$AD$40="Media",'Matriz riesgos de gestión'!$AF$40="Menor"),CONCATENATE("R5C",'Matriz riesgos de gestión'!$T$40),"")</f>
        <v/>
      </c>
      <c r="S30" s="155" t="str">
        <f>IF(AND('Matriz riesgos de gestión'!$AD$41="Media",'Matriz riesgos de gestión'!$AF$41="Menor"),CONCATENATE("R5C",'Matriz riesgos de gestión'!$T$41),"")</f>
        <v/>
      </c>
      <c r="T30" s="155" t="str">
        <f>IF(AND('Matriz riesgos de gestión'!$AD$42="Media",'Matriz riesgos de gestión'!$AF$42="Menor"),CONCATENATE("R5C",'Matriz riesgos de gestión'!$T$42),"")</f>
        <v/>
      </c>
      <c r="U30" s="156" t="str">
        <f>IF(AND('Matriz riesgos de gestión'!$AD$43="Media",'Matriz riesgos de gestión'!$AF$43="Menor"),CONCATENATE("R5C",'Matriz riesgos de gestión'!$T$43),"")</f>
        <v/>
      </c>
      <c r="V30" s="154" t="str">
        <f>IF(AND('Matriz riesgos de gestión'!$AD$38="Media",'Matriz riesgos de gestión'!$AF$38="Moderado"),CONCATENATE("R5C",'Matriz riesgos de gestión'!$T$38),"")</f>
        <v/>
      </c>
      <c r="W30" s="155" t="str">
        <f>IF(AND('Matriz riesgos de gestión'!$AD$39="Media",'Matriz riesgos de gestión'!$AF$39="Moderado"),CONCATENATE("R5C",'Matriz riesgos de gestión'!$T$39),"")</f>
        <v/>
      </c>
      <c r="X30" s="155" t="str">
        <f>IF(AND('Matriz riesgos de gestión'!$AD$40="Media",'Matriz riesgos de gestión'!$AF$40="Moderado"),CONCATENATE("R5C",'Matriz riesgos de gestión'!$T$40),"")</f>
        <v/>
      </c>
      <c r="Y30" s="155" t="str">
        <f>IF(AND('Matriz riesgos de gestión'!$AD$41="Media",'Matriz riesgos de gestión'!$AF$41="Moderado"),CONCATENATE("R5C",'Matriz riesgos de gestión'!$T$41),"")</f>
        <v/>
      </c>
      <c r="Z30" s="155" t="str">
        <f>IF(AND('Matriz riesgos de gestión'!$AD$42="Media",'Matriz riesgos de gestión'!$AF$42="Moderado"),CONCATENATE("R5C",'Matriz riesgos de gestión'!$T$42),"")</f>
        <v/>
      </c>
      <c r="AA30" s="156" t="str">
        <f>IF(AND('Matriz riesgos de gestión'!$AD$43="Media",'Matriz riesgos de gestión'!$AF$43="Moderado"),CONCATENATE("R5C",'Matriz riesgos de gestión'!$T$43),"")</f>
        <v/>
      </c>
      <c r="AB30" s="142" t="str">
        <f>IF(AND('Matriz riesgos de gestión'!$AD$38="Media",'Matriz riesgos de gestión'!$AF$38="Mayor"),CONCATENATE("R5C",'Matriz riesgos de gestión'!$T$38),"")</f>
        <v/>
      </c>
      <c r="AC30" s="143" t="str">
        <f>IF(AND('Matriz riesgos de gestión'!$AD$39="Media",'Matriz riesgos de gestión'!$AF$39="Mayor"),CONCATENATE("R5C",'Matriz riesgos de gestión'!$T$39),"")</f>
        <v/>
      </c>
      <c r="AD30" s="143" t="str">
        <f>IF(AND('Matriz riesgos de gestión'!$AD$40="Media",'Matriz riesgos de gestión'!$AF$40="Mayor"),CONCATENATE("R5C",'Matriz riesgos de gestión'!$T$40),"")</f>
        <v/>
      </c>
      <c r="AE30" s="143" t="str">
        <f>IF(AND('Matriz riesgos de gestión'!$AD$41="Media",'Matriz riesgos de gestión'!$AF$41="Mayor"),CONCATENATE("R5C",'Matriz riesgos de gestión'!$T$41),"")</f>
        <v/>
      </c>
      <c r="AF30" s="143" t="str">
        <f>IF(AND('Matriz riesgos de gestión'!$AD$42="Media",'Matriz riesgos de gestión'!$AF$42="Mayor"),CONCATENATE("R5C",'Matriz riesgos de gestión'!$T$42),"")</f>
        <v/>
      </c>
      <c r="AG30" s="144" t="str">
        <f>IF(AND('Matriz riesgos de gestión'!$AD$43="Media",'Matriz riesgos de gestión'!$AF$43="Mayor"),CONCATENATE("R5C",'Matriz riesgos de gestión'!$T$43),"")</f>
        <v/>
      </c>
      <c r="AH30" s="145" t="str">
        <f>IF(AND('Matriz riesgos de gestión'!$AD$38="Media",'Matriz riesgos de gestión'!$AF$38="Catastrófico"),CONCATENATE("R5C",'Matriz riesgos de gestión'!$T$38),"")</f>
        <v/>
      </c>
      <c r="AI30" s="146" t="str">
        <f>IF(AND('Matriz riesgos de gestión'!$AD$39="Media",'Matriz riesgos de gestión'!$AF$39="Catastrófico"),CONCATENATE("R5C",'Matriz riesgos de gestión'!$T$39),"")</f>
        <v/>
      </c>
      <c r="AJ30" s="146" t="str">
        <f>IF(AND('Matriz riesgos de gestión'!$AD$40="Media",'Matriz riesgos de gestión'!$AF$40="Catastrófico"),CONCATENATE("R5C",'Matriz riesgos de gestión'!$T$40),"")</f>
        <v/>
      </c>
      <c r="AK30" s="146" t="str">
        <f>IF(AND('Matriz riesgos de gestión'!$AD$41="Media",'Matriz riesgos de gestión'!$AF$41="Catastrófico"),CONCATENATE("R5C",'Matriz riesgos de gestión'!$T$41),"")</f>
        <v/>
      </c>
      <c r="AL30" s="146" t="str">
        <f>IF(AND('Matriz riesgos de gestión'!$AD$42="Media",'Matriz riesgos de gestión'!$AF$42="Catastrófico"),CONCATENATE("R5C",'Matriz riesgos de gestión'!$T$42),"")</f>
        <v/>
      </c>
      <c r="AM30" s="147" t="str">
        <f>IF(AND('Matriz riesgos de gestión'!$AD$43="Media",'Matriz riesgos de gestión'!$AF$43="Catastrófico"),CONCATENATE("R5C",'Matriz riesgos de gestión'!$T$43),"")</f>
        <v/>
      </c>
      <c r="AN30" s="115"/>
      <c r="AO30" s="684"/>
      <c r="AP30" s="670"/>
      <c r="AQ30" s="670"/>
      <c r="AR30" s="670"/>
      <c r="AS30" s="670"/>
      <c r="AT30" s="685"/>
      <c r="AU30" s="115"/>
      <c r="AV30" s="115"/>
      <c r="AW30" s="115"/>
      <c r="AX30" s="115"/>
      <c r="AY30" s="115"/>
      <c r="AZ30" s="115"/>
      <c r="BA30" s="115"/>
      <c r="BB30" s="115"/>
      <c r="BC30" s="115"/>
      <c r="BD30" s="115"/>
      <c r="BE30" s="115"/>
      <c r="BF30" s="115"/>
      <c r="BG30" s="115"/>
      <c r="BH30" s="115"/>
      <c r="BI30" s="115"/>
    </row>
    <row r="31" spans="1:61" ht="15" customHeight="1" x14ac:dyDescent="0.25">
      <c r="A31" s="115"/>
      <c r="B31" s="654"/>
      <c r="C31" s="670"/>
      <c r="D31" s="653"/>
      <c r="E31" s="659"/>
      <c r="F31" s="670"/>
      <c r="G31" s="670"/>
      <c r="H31" s="670"/>
      <c r="I31" s="653"/>
      <c r="J31" s="154" t="str">
        <f>IF(AND('Matriz riesgos de gestión'!$AD$44="Media",'Matriz riesgos de gestión'!$AF$44="Leve"),CONCATENATE("R6C",'Matriz riesgos de gestión'!$T$44),"")</f>
        <v/>
      </c>
      <c r="K31" s="155" t="str">
        <f>IF(AND('Matriz riesgos de gestión'!$AD$45="Media",'Matriz riesgos de gestión'!$AF$45="Leve"),CONCATENATE("R6C",'Matriz riesgos de gestión'!$T$45),"")</f>
        <v/>
      </c>
      <c r="L31" s="155" t="str">
        <f>IF(AND('Matriz riesgos de gestión'!$AD$46="Media",'Matriz riesgos de gestión'!$AF$46="Leve"),CONCATENATE("R6C",'Matriz riesgos de gestión'!$T$46),"")</f>
        <v/>
      </c>
      <c r="M31" s="155" t="str">
        <f>IF(AND('Matriz riesgos de gestión'!$AD$47="Media",'Matriz riesgos de gestión'!$AF$47="Leve"),CONCATENATE("R6C",'Matriz riesgos de gestión'!$T$47),"")</f>
        <v/>
      </c>
      <c r="N31" s="155" t="str">
        <f>IF(AND('Matriz riesgos de gestión'!$AD$48="Media",'Matriz riesgos de gestión'!$AF$48="Leve"),CONCATENATE("R6C",'Matriz riesgos de gestión'!$T$48),"")</f>
        <v/>
      </c>
      <c r="O31" s="156" t="str">
        <f>IF(AND('Matriz riesgos de gestión'!$AD$49="Media",'Matriz riesgos de gestión'!$AF$49="Leve"),CONCATENATE("R6C",'Matriz riesgos de gestión'!$T$49),"")</f>
        <v/>
      </c>
      <c r="P31" s="154" t="str">
        <f>IF(AND('Matriz riesgos de gestión'!$AD$44="Media",'Matriz riesgos de gestión'!$AF$44="Menor"),CONCATENATE("R6C",'Matriz riesgos de gestión'!$T$44),"")</f>
        <v/>
      </c>
      <c r="Q31" s="155" t="str">
        <f>IF(AND('Matriz riesgos de gestión'!$AD$45="Media",'Matriz riesgos de gestión'!$AF$45="Menor"),CONCATENATE("R6C",'Matriz riesgos de gestión'!$T$45),"")</f>
        <v/>
      </c>
      <c r="R31" s="155" t="str">
        <f>IF(AND('Matriz riesgos de gestión'!$AD$46="Media",'Matriz riesgos de gestión'!$AF$46="Menor"),CONCATENATE("R6C",'Matriz riesgos de gestión'!$T$46),"")</f>
        <v/>
      </c>
      <c r="S31" s="155" t="str">
        <f>IF(AND('Matriz riesgos de gestión'!$AD$47="Media",'Matriz riesgos de gestión'!$AF$47="Menor"),CONCATENATE("R6C",'Matriz riesgos de gestión'!$T$47),"")</f>
        <v/>
      </c>
      <c r="T31" s="155" t="str">
        <f>IF(AND('Matriz riesgos de gestión'!$AD$48="Media",'Matriz riesgos de gestión'!$AF$48="Menor"),CONCATENATE("R6C",'Matriz riesgos de gestión'!$T$48),"")</f>
        <v/>
      </c>
      <c r="U31" s="156" t="str">
        <f>IF(AND('Matriz riesgos de gestión'!$AD$49="Media",'Matriz riesgos de gestión'!$AF$49="Menor"),CONCATENATE("R6C",'Matriz riesgos de gestión'!$T$49),"")</f>
        <v/>
      </c>
      <c r="V31" s="154" t="str">
        <f>IF(AND('Matriz riesgos de gestión'!$AD$44="Media",'Matriz riesgos de gestión'!$AF$44="Moderado"),CONCATENATE("R6C",'Matriz riesgos de gestión'!$T$44),"")</f>
        <v>R6C1</v>
      </c>
      <c r="W31" s="155" t="str">
        <f>IF(AND('Matriz riesgos de gestión'!$AD$45="Media",'Matriz riesgos de gestión'!$AF$45="Moderado"),CONCATENATE("R6C",'Matriz riesgos de gestión'!$T$45),"")</f>
        <v/>
      </c>
      <c r="X31" s="155" t="str">
        <f>IF(AND('Matriz riesgos de gestión'!$AD$46="Media",'Matriz riesgos de gestión'!$AF$46="Moderado"),CONCATENATE("R6C",'Matriz riesgos de gestión'!$T$46),"")</f>
        <v/>
      </c>
      <c r="Y31" s="155" t="str">
        <f>IF(AND('Matriz riesgos de gestión'!$AD$47="Media",'Matriz riesgos de gestión'!$AF$47="Moderado"),CONCATENATE("R6C",'Matriz riesgos de gestión'!$T$47),"")</f>
        <v/>
      </c>
      <c r="Z31" s="155" t="str">
        <f>IF(AND('Matriz riesgos de gestión'!$AD$48="Media",'Matriz riesgos de gestión'!$AF$48="Moderado"),CONCATENATE("R6C",'Matriz riesgos de gestión'!$T$48),"")</f>
        <v/>
      </c>
      <c r="AA31" s="156" t="str">
        <f>IF(AND('Matriz riesgos de gestión'!$AD$49="Media",'Matriz riesgos de gestión'!$AF$49="Moderado"),CONCATENATE("R6C",'Matriz riesgos de gestión'!$T$49),"")</f>
        <v/>
      </c>
      <c r="AB31" s="142" t="str">
        <f>IF(AND('Matriz riesgos de gestión'!$AD$44="Media",'Matriz riesgos de gestión'!$AF$44="Mayor"),CONCATENATE("R6C",'Matriz riesgos de gestión'!$T$44),"")</f>
        <v/>
      </c>
      <c r="AC31" s="143" t="str">
        <f>IF(AND('Matriz riesgos de gestión'!$AD$45="Media",'Matriz riesgos de gestión'!$AF$45="Mayor"),CONCATENATE("R6C",'Matriz riesgos de gestión'!$T$45),"")</f>
        <v/>
      </c>
      <c r="AD31" s="143" t="str">
        <f>IF(AND('Matriz riesgos de gestión'!$AD$46="Media",'Matriz riesgos de gestión'!$AF$46="Mayor"),CONCATENATE("R6C",'Matriz riesgos de gestión'!$T$46),"")</f>
        <v/>
      </c>
      <c r="AE31" s="143" t="str">
        <f>IF(AND('Matriz riesgos de gestión'!$AD$47="Media",'Matriz riesgos de gestión'!$AF$47="Mayor"),CONCATENATE("R6C",'Matriz riesgos de gestión'!$T$47),"")</f>
        <v/>
      </c>
      <c r="AF31" s="143" t="str">
        <f>IF(AND('Matriz riesgos de gestión'!$AD$48="Media",'Matriz riesgos de gestión'!$AF$48="Mayor"),CONCATENATE("R6C",'Matriz riesgos de gestión'!$T$48),"")</f>
        <v/>
      </c>
      <c r="AG31" s="144" t="str">
        <f>IF(AND('Matriz riesgos de gestión'!$AD$49="Media",'Matriz riesgos de gestión'!$AF$49="Mayor"),CONCATENATE("R6C",'Matriz riesgos de gestión'!$T$49),"")</f>
        <v/>
      </c>
      <c r="AH31" s="145" t="str">
        <f>IF(AND('Matriz riesgos de gestión'!$AD$44="Media",'Matriz riesgos de gestión'!$AF$44="Catastrófico"),CONCATENATE("R6C",'Matriz riesgos de gestión'!$T$44),"")</f>
        <v/>
      </c>
      <c r="AI31" s="146" t="str">
        <f>IF(AND('Matriz riesgos de gestión'!$AD$45="Media",'Matriz riesgos de gestión'!$AF$45="Catastrófico"),CONCATENATE("R6C",'Matriz riesgos de gestión'!$T$45),"")</f>
        <v/>
      </c>
      <c r="AJ31" s="146" t="str">
        <f>IF(AND('Matriz riesgos de gestión'!$AD$46="Media",'Matriz riesgos de gestión'!$AF$46="Catastrófico"),CONCATENATE("R6C",'Matriz riesgos de gestión'!$T$46),"")</f>
        <v/>
      </c>
      <c r="AK31" s="146" t="str">
        <f>IF(AND('Matriz riesgos de gestión'!$AD$47="Media",'Matriz riesgos de gestión'!$AF$47="Catastrófico"),CONCATENATE("R6C",'Matriz riesgos de gestión'!$T$47),"")</f>
        <v/>
      </c>
      <c r="AL31" s="146" t="str">
        <f>IF(AND('Matriz riesgos de gestión'!$AD$48="Media",'Matriz riesgos de gestión'!$AF$48="Catastrófico"),CONCATENATE("R6C",'Matriz riesgos de gestión'!$T$48),"")</f>
        <v/>
      </c>
      <c r="AM31" s="147" t="str">
        <f>IF(AND('Matriz riesgos de gestión'!$AD$49="Media",'Matriz riesgos de gestión'!$AF$49="Catastrófico"),CONCATENATE("R6C",'Matriz riesgos de gestión'!$T$49),"")</f>
        <v/>
      </c>
      <c r="AN31" s="115"/>
      <c r="AO31" s="684"/>
      <c r="AP31" s="670"/>
      <c r="AQ31" s="670"/>
      <c r="AR31" s="670"/>
      <c r="AS31" s="670"/>
      <c r="AT31" s="685"/>
      <c r="AU31" s="115"/>
      <c r="AV31" s="115"/>
      <c r="AW31" s="115"/>
      <c r="AX31" s="115"/>
      <c r="AY31" s="115"/>
      <c r="AZ31" s="115"/>
      <c r="BA31" s="115"/>
      <c r="BB31" s="115"/>
      <c r="BC31" s="115"/>
      <c r="BD31" s="115"/>
      <c r="BE31" s="115"/>
      <c r="BF31" s="115"/>
      <c r="BG31" s="115"/>
      <c r="BH31" s="115"/>
      <c r="BI31" s="115"/>
    </row>
    <row r="32" spans="1:61" ht="15" customHeight="1" x14ac:dyDescent="0.25">
      <c r="A32" s="115"/>
      <c r="B32" s="654"/>
      <c r="C32" s="670"/>
      <c r="D32" s="653"/>
      <c r="E32" s="659"/>
      <c r="F32" s="670"/>
      <c r="G32" s="670"/>
      <c r="H32" s="670"/>
      <c r="I32" s="653"/>
      <c r="J32" s="154" t="str">
        <f>IF(AND('Matriz riesgos de gestión'!$AD$50="Media",'Matriz riesgos de gestión'!$AF$50="Leve"),CONCATENATE("R7C",'Matriz riesgos de gestión'!$T$50),"")</f>
        <v/>
      </c>
      <c r="K32" s="155" t="str">
        <f>IF(AND('Matriz riesgos de gestión'!$AD$51="Media",'Matriz riesgos de gestión'!$AF$51="Leve"),CONCATENATE("R7C",'Matriz riesgos de gestión'!$T$51),"")</f>
        <v/>
      </c>
      <c r="L32" s="155" t="str">
        <f>IF(AND('Matriz riesgos de gestión'!$AD$52="Media",'Matriz riesgos de gestión'!$AF$52="Leve"),CONCATENATE("R7C",'Matriz riesgos de gestión'!$T$52),"")</f>
        <v/>
      </c>
      <c r="M32" s="155" t="str">
        <f>IF(AND('Matriz riesgos de gestión'!$AD$53="Media",'Matriz riesgos de gestión'!$AF$53="Leve"),CONCATENATE("R7C",'Matriz riesgos de gestión'!$T$53),"")</f>
        <v/>
      </c>
      <c r="N32" s="155" t="str">
        <f>IF(AND('Matriz riesgos de gestión'!$AD$54="Media",'Matriz riesgos de gestión'!$AF$54="Leve"),CONCATENATE("R7C",'Matriz riesgos de gestión'!$T$54),"")</f>
        <v/>
      </c>
      <c r="O32" s="156" t="str">
        <f>IF(AND('Matriz riesgos de gestión'!$AD$55="Media",'Matriz riesgos de gestión'!$AF$55="Leve"),CONCATENATE("R7C",'Matriz riesgos de gestión'!$T$55),"")</f>
        <v/>
      </c>
      <c r="P32" s="154" t="str">
        <f>IF(AND('Matriz riesgos de gestión'!$AD$50="Media",'Matriz riesgos de gestión'!$AF$50="Menor"),CONCATENATE("R7C",'Matriz riesgos de gestión'!$T$50),"")</f>
        <v/>
      </c>
      <c r="Q32" s="155" t="str">
        <f>IF(AND('Matriz riesgos de gestión'!$AD$51="Media",'Matriz riesgos de gestión'!$AF$51="Menor"),CONCATENATE("R7C",'Matriz riesgos de gestión'!$T$51),"")</f>
        <v/>
      </c>
      <c r="R32" s="155" t="str">
        <f>IF(AND('Matriz riesgos de gestión'!$AD$52="Media",'Matriz riesgos de gestión'!$AF$52="Menor"),CONCATENATE("R7C",'Matriz riesgos de gestión'!$T$52),"")</f>
        <v/>
      </c>
      <c r="S32" s="155" t="str">
        <f>IF(AND('Matriz riesgos de gestión'!$AD$53="Media",'Matriz riesgos de gestión'!$AF$53="Menor"),CONCATENATE("R7C",'Matriz riesgos de gestión'!$T$53),"")</f>
        <v/>
      </c>
      <c r="T32" s="155" t="str">
        <f>IF(AND('Matriz riesgos de gestión'!$AD$54="Media",'Matriz riesgos de gestión'!$AF$54="Menor"),CONCATENATE("R7C",'Matriz riesgos de gestión'!$T$54),"")</f>
        <v/>
      </c>
      <c r="U32" s="156" t="str">
        <f>IF(AND('Matriz riesgos de gestión'!$AD$55="Media",'Matriz riesgos de gestión'!$AF$55="Menor"),CONCATENATE("R7C",'Matriz riesgos de gestión'!$T$55),"")</f>
        <v/>
      </c>
      <c r="V32" s="154" t="str">
        <f>IF(AND('Matriz riesgos de gestión'!$AD$50="Media",'Matriz riesgos de gestión'!$AF$50="Moderado"),CONCATENATE("R7C",'Matriz riesgos de gestión'!$T$50),"")</f>
        <v>R7C1</v>
      </c>
      <c r="W32" s="155" t="str">
        <f>IF(AND('Matriz riesgos de gestión'!$AD$51="Media",'Matriz riesgos de gestión'!$AF$51="Moderado"),CONCATENATE("R7C",'Matriz riesgos de gestión'!$T$51),"")</f>
        <v/>
      </c>
      <c r="X32" s="155" t="str">
        <f>IF(AND('Matriz riesgos de gestión'!$AD$52="Media",'Matriz riesgos de gestión'!$AF$52="Moderado"),CONCATENATE("R7C",'Matriz riesgos de gestión'!$T$52),"")</f>
        <v/>
      </c>
      <c r="Y32" s="155" t="str">
        <f>IF(AND('Matriz riesgos de gestión'!$AD$53="Media",'Matriz riesgos de gestión'!$AF$53="Moderado"),CONCATENATE("R7C",'Matriz riesgos de gestión'!$T$53),"")</f>
        <v/>
      </c>
      <c r="Z32" s="155" t="str">
        <f>IF(AND('Matriz riesgos de gestión'!$AD$54="Media",'Matriz riesgos de gestión'!$AF$54="Moderado"),CONCATENATE("R7C",'Matriz riesgos de gestión'!$T$54),"")</f>
        <v/>
      </c>
      <c r="AA32" s="156" t="str">
        <f>IF(AND('Matriz riesgos de gestión'!$AD$55="Media",'Matriz riesgos de gestión'!$AF$55="Moderado"),CONCATENATE("R7C",'Matriz riesgos de gestión'!$T$55),"")</f>
        <v/>
      </c>
      <c r="AB32" s="142" t="str">
        <f>IF(AND('Matriz riesgos de gestión'!$AD$50="Media",'Matriz riesgos de gestión'!$AF$50="Mayor"),CONCATENATE("R7C",'Matriz riesgos de gestión'!$T$50),"")</f>
        <v/>
      </c>
      <c r="AC32" s="143" t="str">
        <f>IF(AND('Matriz riesgos de gestión'!$AD$51="Media",'Matriz riesgos de gestión'!$AF$51="Mayor"),CONCATENATE("R7C",'Matriz riesgos de gestión'!$T$51),"")</f>
        <v/>
      </c>
      <c r="AD32" s="143" t="str">
        <f>IF(AND('Matriz riesgos de gestión'!$AD$52="Media",'Matriz riesgos de gestión'!$AF$52="Mayor"),CONCATENATE("R7C",'Matriz riesgos de gestión'!$T$52),"")</f>
        <v/>
      </c>
      <c r="AE32" s="143" t="str">
        <f>IF(AND('Matriz riesgos de gestión'!$AD$53="Media",'Matriz riesgos de gestión'!$AF$53="Mayor"),CONCATENATE("R7C",'Matriz riesgos de gestión'!$T$53),"")</f>
        <v/>
      </c>
      <c r="AF32" s="143" t="str">
        <f>IF(AND('Matriz riesgos de gestión'!$AD$54="Media",'Matriz riesgos de gestión'!$AF$54="Mayor"),CONCATENATE("R7C",'Matriz riesgos de gestión'!$T$54),"")</f>
        <v/>
      </c>
      <c r="AG32" s="144" t="str">
        <f>IF(AND('Matriz riesgos de gestión'!$AD$55="Media",'Matriz riesgos de gestión'!$AF$55="Mayor"),CONCATENATE("R7C",'Matriz riesgos de gestión'!$T$55),"")</f>
        <v/>
      </c>
      <c r="AH32" s="145" t="str">
        <f>IF(AND('Matriz riesgos de gestión'!$AD$50="Media",'Matriz riesgos de gestión'!$AF$50="Catastrófico"),CONCATENATE("R7C",'Matriz riesgos de gestión'!$T$50),"")</f>
        <v/>
      </c>
      <c r="AI32" s="146" t="str">
        <f>IF(AND('Matriz riesgos de gestión'!$AD$51="Media",'Matriz riesgos de gestión'!$AF$51="Catastrófico"),CONCATENATE("R7C",'Matriz riesgos de gestión'!$T$51),"")</f>
        <v/>
      </c>
      <c r="AJ32" s="146" t="str">
        <f>IF(AND('Matriz riesgos de gestión'!$AD$52="Media",'Matriz riesgos de gestión'!$AF$52="Catastrófico"),CONCATENATE("R7C",'Matriz riesgos de gestión'!$T$52),"")</f>
        <v/>
      </c>
      <c r="AK32" s="146" t="str">
        <f>IF(AND('Matriz riesgos de gestión'!$AD$53="Media",'Matriz riesgos de gestión'!$AF$53="Catastrófico"),CONCATENATE("R7C",'Matriz riesgos de gestión'!$T$53),"")</f>
        <v/>
      </c>
      <c r="AL32" s="146" t="str">
        <f>IF(AND('Matriz riesgos de gestión'!$AD$54="Media",'Matriz riesgos de gestión'!$AF$54="Catastrófico"),CONCATENATE("R7C",'Matriz riesgos de gestión'!$T$54),"")</f>
        <v/>
      </c>
      <c r="AM32" s="147" t="str">
        <f>IF(AND('Matriz riesgos de gestión'!$AD$55="Media",'Matriz riesgos de gestión'!$AF$55="Catastrófico"),CONCATENATE("R7C",'Matriz riesgos de gestión'!$T$55),"")</f>
        <v/>
      </c>
      <c r="AN32" s="115"/>
      <c r="AO32" s="684"/>
      <c r="AP32" s="670"/>
      <c r="AQ32" s="670"/>
      <c r="AR32" s="670"/>
      <c r="AS32" s="670"/>
      <c r="AT32" s="685"/>
      <c r="AU32" s="115"/>
      <c r="AV32" s="115"/>
      <c r="AW32" s="115"/>
      <c r="AX32" s="115"/>
      <c r="AY32" s="115"/>
      <c r="AZ32" s="115"/>
      <c r="BA32" s="115"/>
      <c r="BB32" s="115"/>
      <c r="BC32" s="115"/>
      <c r="BD32" s="115"/>
      <c r="BE32" s="115"/>
      <c r="BF32" s="115"/>
      <c r="BG32" s="115"/>
      <c r="BH32" s="115"/>
      <c r="BI32" s="115"/>
    </row>
    <row r="33" spans="1:61" ht="15" customHeight="1" x14ac:dyDescent="0.25">
      <c r="A33" s="115"/>
      <c r="B33" s="654"/>
      <c r="C33" s="670"/>
      <c r="D33" s="653"/>
      <c r="E33" s="659"/>
      <c r="F33" s="670"/>
      <c r="G33" s="670"/>
      <c r="H33" s="670"/>
      <c r="I33" s="653"/>
      <c r="J33" s="154" t="str">
        <f>IF(AND('Matriz riesgos de gestión'!$AD$56="Media",'Matriz riesgos de gestión'!$AF$56="Leve"),CONCATENATE("R8C",'Matriz riesgos de gestión'!$T$56),"")</f>
        <v/>
      </c>
      <c r="K33" s="155" t="str">
        <f>IF(AND('Matriz riesgos de gestión'!$AD$57="Media",'Matriz riesgos de gestión'!$AF$57="Leve"),CONCATENATE("R8C",'Matriz riesgos de gestión'!$T$57),"")</f>
        <v/>
      </c>
      <c r="L33" s="155" t="str">
        <f>IF(AND('Matriz riesgos de gestión'!$AD$58="Media",'Matriz riesgos de gestión'!$AF$58="Leve"),CONCATENATE("R8C",'Matriz riesgos de gestión'!$T$58),"")</f>
        <v/>
      </c>
      <c r="M33" s="155" t="str">
        <f>IF(AND('Matriz riesgos de gestión'!$AD$59="Media",'Matriz riesgos de gestión'!$AF$59="Leve"),CONCATENATE("R8C",'Matriz riesgos de gestión'!$T$59),"")</f>
        <v/>
      </c>
      <c r="N33" s="155" t="str">
        <f>IF(AND('Matriz riesgos de gestión'!$AD$60="Media",'Matriz riesgos de gestión'!$AF$60="Leve"),CONCATENATE("R8C",'Matriz riesgos de gestión'!$T$60),"")</f>
        <v/>
      </c>
      <c r="O33" s="156" t="str">
        <f>IF(AND('Matriz riesgos de gestión'!$AD$61="Media",'Matriz riesgos de gestión'!$AF$61="Leve"),CONCATENATE("R8C",'Matriz riesgos de gestión'!$T$61),"")</f>
        <v/>
      </c>
      <c r="P33" s="154" t="str">
        <f>IF(AND('Matriz riesgos de gestión'!$AD$56="Media",'Matriz riesgos de gestión'!$AF$56="Menor"),CONCATENATE("R8C",'Matriz riesgos de gestión'!$T$56),"")</f>
        <v/>
      </c>
      <c r="Q33" s="155" t="str">
        <f>IF(AND('Matriz riesgos de gestión'!$AD$57="Media",'Matriz riesgos de gestión'!$AF$57="Menor"),CONCATENATE("R8C",'Matriz riesgos de gestión'!$T$57),"")</f>
        <v/>
      </c>
      <c r="R33" s="155" t="str">
        <f>IF(AND('Matriz riesgos de gestión'!$AD$58="Media",'Matriz riesgos de gestión'!$AF$58="Menor"),CONCATENATE("R8C",'Matriz riesgos de gestión'!$T$58),"")</f>
        <v/>
      </c>
      <c r="S33" s="155" t="str">
        <f>IF(AND('Matriz riesgos de gestión'!$AD$59="Media",'Matriz riesgos de gestión'!$AF$59="Menor"),CONCATENATE("R8C",'Matriz riesgos de gestión'!$T$59),"")</f>
        <v/>
      </c>
      <c r="T33" s="155" t="str">
        <f>IF(AND('Matriz riesgos de gestión'!$AD$60="Media",'Matriz riesgos de gestión'!$AF$60="Menor"),CONCATENATE("R8C",'Matriz riesgos de gestión'!$T$60),"")</f>
        <v/>
      </c>
      <c r="U33" s="156" t="str">
        <f>IF(AND('Matriz riesgos de gestión'!$AD$61="Media",'Matriz riesgos de gestión'!$AF$61="Menor"),CONCATENATE("R8C",'Matriz riesgos de gestión'!$T$61),"")</f>
        <v/>
      </c>
      <c r="V33" s="154" t="str">
        <f>IF(AND('Matriz riesgos de gestión'!$AD$56="Media",'Matriz riesgos de gestión'!$AF$56="Moderado"),CONCATENATE("R8C",'Matriz riesgos de gestión'!$T$56),"")</f>
        <v>R8C1</v>
      </c>
      <c r="W33" s="155" t="str">
        <f>IF(AND('Matriz riesgos de gestión'!$AD$57="Media",'Matriz riesgos de gestión'!$AF$57="Moderado"),CONCATENATE("R8C",'Matriz riesgos de gestión'!$T$57),"")</f>
        <v/>
      </c>
      <c r="X33" s="155" t="str">
        <f>IF(AND('Matriz riesgos de gestión'!$AD$58="Media",'Matriz riesgos de gestión'!$AF$58="Moderado"),CONCATENATE("R8C",'Matriz riesgos de gestión'!$T$58),"")</f>
        <v/>
      </c>
      <c r="Y33" s="155" t="str">
        <f>IF(AND('Matriz riesgos de gestión'!$AD$59="Media",'Matriz riesgos de gestión'!$AF$59="Moderado"),CONCATENATE("R8C",'Matriz riesgos de gestión'!$T$59),"")</f>
        <v/>
      </c>
      <c r="Z33" s="155" t="str">
        <f>IF(AND('Matriz riesgos de gestión'!$AD$60="Media",'Matriz riesgos de gestión'!$AF$60="Moderado"),CONCATENATE("R8C",'Matriz riesgos de gestión'!$T$60),"")</f>
        <v/>
      </c>
      <c r="AA33" s="156" t="str">
        <f>IF(AND('Matriz riesgos de gestión'!$AD$61="Media",'Matriz riesgos de gestión'!$AF$61="Moderado"),CONCATENATE("R8C",'Matriz riesgos de gestión'!$T$61),"")</f>
        <v/>
      </c>
      <c r="AB33" s="142" t="str">
        <f>IF(AND('Matriz riesgos de gestión'!$AD$56="Media",'Matriz riesgos de gestión'!$AF$56="Mayor"),CONCATENATE("R8C",'Matriz riesgos de gestión'!$T$56),"")</f>
        <v/>
      </c>
      <c r="AC33" s="143" t="str">
        <f>IF(AND('Matriz riesgos de gestión'!$AD$57="Media",'Matriz riesgos de gestión'!$AF$57="Mayor"),CONCATENATE("R8C",'Matriz riesgos de gestión'!$T$57),"")</f>
        <v/>
      </c>
      <c r="AD33" s="143" t="str">
        <f>IF(AND('Matriz riesgos de gestión'!$AD$58="Media",'Matriz riesgos de gestión'!$AF$58="Mayor"),CONCATENATE("R8C",'Matriz riesgos de gestión'!$T$58),"")</f>
        <v/>
      </c>
      <c r="AE33" s="143" t="str">
        <f>IF(AND('Matriz riesgos de gestión'!$AD$59="Media",'Matriz riesgos de gestión'!$AF$59="Mayor"),CONCATENATE("R8C",'Matriz riesgos de gestión'!$T$59),"")</f>
        <v/>
      </c>
      <c r="AF33" s="143" t="str">
        <f>IF(AND('Matriz riesgos de gestión'!$AD$60="Media",'Matriz riesgos de gestión'!$AF$60="Mayor"),CONCATENATE("R8C",'Matriz riesgos de gestión'!$T$60),"")</f>
        <v/>
      </c>
      <c r="AG33" s="144" t="str">
        <f>IF(AND('Matriz riesgos de gestión'!$AD$61="Media",'Matriz riesgos de gestión'!$AF$61="Mayor"),CONCATENATE("R8C",'Matriz riesgos de gestión'!$T$61),"")</f>
        <v/>
      </c>
      <c r="AH33" s="145" t="str">
        <f>IF(AND('Matriz riesgos de gestión'!$AD$56="Media",'Matriz riesgos de gestión'!$AF$56="Catastrófico"),CONCATENATE("R8C",'Matriz riesgos de gestión'!$T$56),"")</f>
        <v/>
      </c>
      <c r="AI33" s="146" t="str">
        <f>IF(AND('Matriz riesgos de gestión'!$AD$57="Media",'Matriz riesgos de gestión'!$AF$57="Catastrófico"),CONCATENATE("R8C",'Matriz riesgos de gestión'!$T$57),"")</f>
        <v/>
      </c>
      <c r="AJ33" s="146" t="str">
        <f>IF(AND('Matriz riesgos de gestión'!$AD$58="Media",'Matriz riesgos de gestión'!$AF$58="Catastrófico"),CONCATENATE("R8C",'Matriz riesgos de gestión'!$T$58),"")</f>
        <v/>
      </c>
      <c r="AK33" s="146" t="str">
        <f>IF(AND('Matriz riesgos de gestión'!$AD$59="Media",'Matriz riesgos de gestión'!$AF$59="Catastrófico"),CONCATENATE("R8C",'Matriz riesgos de gestión'!$T$59),"")</f>
        <v/>
      </c>
      <c r="AL33" s="146" t="str">
        <f>IF(AND('Matriz riesgos de gestión'!$AD$60="Media",'Matriz riesgos de gestión'!$AF$60="Catastrófico"),CONCATENATE("R8C",'Matriz riesgos de gestión'!$T$60),"")</f>
        <v/>
      </c>
      <c r="AM33" s="147" t="str">
        <f>IF(AND('Matriz riesgos de gestión'!$AD$61="Media",'Matriz riesgos de gestión'!$AF$61="Catastrófico"),CONCATENATE("R8C",'Matriz riesgos de gestión'!$T$61),"")</f>
        <v/>
      </c>
      <c r="AN33" s="115"/>
      <c r="AO33" s="684"/>
      <c r="AP33" s="670"/>
      <c r="AQ33" s="670"/>
      <c r="AR33" s="670"/>
      <c r="AS33" s="670"/>
      <c r="AT33" s="685"/>
      <c r="AU33" s="115"/>
      <c r="AV33" s="115"/>
      <c r="AW33" s="115"/>
      <c r="AX33" s="115"/>
      <c r="AY33" s="115"/>
      <c r="AZ33" s="115"/>
      <c r="BA33" s="115"/>
      <c r="BB33" s="115"/>
      <c r="BC33" s="115"/>
      <c r="BD33" s="115"/>
      <c r="BE33" s="115"/>
      <c r="BF33" s="115"/>
      <c r="BG33" s="115"/>
      <c r="BH33" s="115"/>
      <c r="BI33" s="115"/>
    </row>
    <row r="34" spans="1:61" ht="15" customHeight="1" x14ac:dyDescent="0.25">
      <c r="A34" s="115"/>
      <c r="B34" s="654"/>
      <c r="C34" s="670"/>
      <c r="D34" s="653"/>
      <c r="E34" s="659"/>
      <c r="F34" s="670"/>
      <c r="G34" s="670"/>
      <c r="H34" s="670"/>
      <c r="I34" s="653"/>
      <c r="J34" s="154" t="str">
        <f>IF(AND('Matriz riesgos de gestión'!$AD$62="Media",'Matriz riesgos de gestión'!$AF$62="Leve"),CONCATENATE("R9C",'Matriz riesgos de gestión'!$T$62),"")</f>
        <v/>
      </c>
      <c r="K34" s="155" t="str">
        <f>IF(AND('Matriz riesgos de gestión'!$AD$63="Media",'Matriz riesgos de gestión'!$AF$63="Leve"),CONCATENATE("R9C",'Matriz riesgos de gestión'!$T$63),"")</f>
        <v/>
      </c>
      <c r="L34" s="155" t="str">
        <f>IF(AND('Matriz riesgos de gestión'!$AD$64="Media",'Matriz riesgos de gestión'!$AF$64="Leve"),CONCATENATE("R9C",'Matriz riesgos de gestión'!$T$64),"")</f>
        <v/>
      </c>
      <c r="M34" s="155" t="str">
        <f>IF(AND('Matriz riesgos de gestión'!$AD$65="Media",'Matriz riesgos de gestión'!$AF$65="Leve"),CONCATENATE("R9C",'Matriz riesgos de gestión'!$T$65),"")</f>
        <v/>
      </c>
      <c r="N34" s="155" t="str">
        <f>IF(AND('Matriz riesgos de gestión'!$AD$66="Media",'Matriz riesgos de gestión'!$AF$66="Leve"),CONCATENATE("R9C",'Matriz riesgos de gestión'!$T$66),"")</f>
        <v/>
      </c>
      <c r="O34" s="156" t="str">
        <f>IF(AND('Matriz riesgos de gestión'!$AD$67="Media",'Matriz riesgos de gestión'!$AF$67="Leve"),CONCATENATE("R9C",'Matriz riesgos de gestión'!$T$67),"")</f>
        <v/>
      </c>
      <c r="P34" s="154" t="str">
        <f>IF(AND('Matriz riesgos de gestión'!$AD$62="Media",'Matriz riesgos de gestión'!$AF$62="Menor"),CONCATENATE("R9C",'Matriz riesgos de gestión'!$T$62),"")</f>
        <v/>
      </c>
      <c r="Q34" s="155" t="str">
        <f>IF(AND('Matriz riesgos de gestión'!$AD$63="Media",'Matriz riesgos de gestión'!$AF$63="Menor"),CONCATENATE("R9C",'Matriz riesgos de gestión'!$T$63),"")</f>
        <v/>
      </c>
      <c r="R34" s="155" t="str">
        <f>IF(AND('Matriz riesgos de gestión'!$AD$64="Media",'Matriz riesgos de gestión'!$AF$64="Menor"),CONCATENATE("R9C",'Matriz riesgos de gestión'!$T$64),"")</f>
        <v/>
      </c>
      <c r="S34" s="155" t="str">
        <f>IF(AND('Matriz riesgos de gestión'!$AD$65="Media",'Matriz riesgos de gestión'!$AF$65="Menor"),CONCATENATE("R9C",'Matriz riesgos de gestión'!$T$65),"")</f>
        <v/>
      </c>
      <c r="T34" s="155" t="str">
        <f>IF(AND('Matriz riesgos de gestión'!$AD$66="Media",'Matriz riesgos de gestión'!$AF$66="Menor"),CONCATENATE("R9C",'Matriz riesgos de gestión'!$T$66),"")</f>
        <v/>
      </c>
      <c r="U34" s="156" t="str">
        <f>IF(AND('Matriz riesgos de gestión'!$AD$67="Media",'Matriz riesgos de gestión'!$AF$67="Menor"),CONCATENATE("R9C",'Matriz riesgos de gestión'!$T$67),"")</f>
        <v/>
      </c>
      <c r="V34" s="154" t="str">
        <f>IF(AND('Matriz riesgos de gestión'!$AD$62="Media",'Matriz riesgos de gestión'!$AF$62="Moderado"),CONCATENATE("R9C",'Matriz riesgos de gestión'!$T$62),"")</f>
        <v/>
      </c>
      <c r="W34" s="155" t="str">
        <f>IF(AND('Matriz riesgos de gestión'!$AD$63="Media",'Matriz riesgos de gestión'!$AF$63="Moderado"),CONCATENATE("R9C",'Matriz riesgos de gestión'!$T$63),"")</f>
        <v/>
      </c>
      <c r="X34" s="155" t="str">
        <f>IF(AND('Matriz riesgos de gestión'!$AD$64="Media",'Matriz riesgos de gestión'!$AF$64="Moderado"),CONCATENATE("R9C",'Matriz riesgos de gestión'!$T$64),"")</f>
        <v/>
      </c>
      <c r="Y34" s="155" t="str">
        <f>IF(AND('Matriz riesgos de gestión'!$AD$65="Media",'Matriz riesgos de gestión'!$AF$65="Moderado"),CONCATENATE("R9C",'Matriz riesgos de gestión'!$T$65),"")</f>
        <v/>
      </c>
      <c r="Z34" s="155" t="str">
        <f>IF(AND('Matriz riesgos de gestión'!$AD$66="Media",'Matriz riesgos de gestión'!$AF$66="Moderado"),CONCATENATE("R9C",'Matriz riesgos de gestión'!$T$66),"")</f>
        <v/>
      </c>
      <c r="AA34" s="156" t="str">
        <f>IF(AND('Matriz riesgos de gestión'!$AD$67="Media",'Matriz riesgos de gestión'!$AF$67="Moderado"),CONCATENATE("R9C",'Matriz riesgos de gestión'!$T$67),"")</f>
        <v/>
      </c>
      <c r="AB34" s="142" t="str">
        <f>IF(AND('Matriz riesgos de gestión'!$AD$62="Media",'Matriz riesgos de gestión'!$AF$62="Mayor"),CONCATENATE("R9C",'Matriz riesgos de gestión'!$T$62),"")</f>
        <v/>
      </c>
      <c r="AC34" s="143" t="str">
        <f>IF(AND('Matriz riesgos de gestión'!$AD$63="Media",'Matriz riesgos de gestión'!$AF$63="Mayor"),CONCATENATE("R9C",'Matriz riesgos de gestión'!$T$63),"")</f>
        <v/>
      </c>
      <c r="AD34" s="143" t="str">
        <f>IF(AND('Matriz riesgos de gestión'!$AD$64="Media",'Matriz riesgos de gestión'!$AF$64="Mayor"),CONCATENATE("R9C",'Matriz riesgos de gestión'!$T$64),"")</f>
        <v/>
      </c>
      <c r="AE34" s="143" t="str">
        <f>IF(AND('Matriz riesgos de gestión'!$AD$65="Media",'Matriz riesgos de gestión'!$AF$65="Mayor"),CONCATENATE("R9C",'Matriz riesgos de gestión'!$T$65),"")</f>
        <v/>
      </c>
      <c r="AF34" s="143" t="str">
        <f>IF(AND('Matriz riesgos de gestión'!$AD$66="Media",'Matriz riesgos de gestión'!$AF$66="Mayor"),CONCATENATE("R9C",'Matriz riesgos de gestión'!$T$66),"")</f>
        <v/>
      </c>
      <c r="AG34" s="144" t="str">
        <f>IF(AND('Matriz riesgos de gestión'!$AD$67="Media",'Matriz riesgos de gestión'!$AF$67="Mayor"),CONCATENATE("R9C",'Matriz riesgos de gestión'!$T$67),"")</f>
        <v/>
      </c>
      <c r="AH34" s="145" t="str">
        <f>IF(AND('Matriz riesgos de gestión'!$AD$62="Media",'Matriz riesgos de gestión'!$AF$62="Catastrófico"),CONCATENATE("R9C",'Matriz riesgos de gestión'!$T$62),"")</f>
        <v/>
      </c>
      <c r="AI34" s="146" t="str">
        <f>IF(AND('Matriz riesgos de gestión'!$AD$63="Media",'Matriz riesgos de gestión'!$AF$63="Catastrófico"),CONCATENATE("R9C",'Matriz riesgos de gestión'!$T$63),"")</f>
        <v/>
      </c>
      <c r="AJ34" s="146" t="str">
        <f>IF(AND('Matriz riesgos de gestión'!$AD$64="Media",'Matriz riesgos de gestión'!$AF$64="Catastrófico"),CONCATENATE("R9C",'Matriz riesgos de gestión'!$T$64),"")</f>
        <v/>
      </c>
      <c r="AK34" s="146" t="str">
        <f>IF(AND('Matriz riesgos de gestión'!$AD$65="Media",'Matriz riesgos de gestión'!$AF$65="Catastrófico"),CONCATENATE("R9C",'Matriz riesgos de gestión'!$T$65),"")</f>
        <v/>
      </c>
      <c r="AL34" s="146" t="str">
        <f>IF(AND('Matriz riesgos de gestión'!$AD$66="Media",'Matriz riesgos de gestión'!$AF$66="Catastrófico"),CONCATENATE("R9C",'Matriz riesgos de gestión'!$T$66),"")</f>
        <v/>
      </c>
      <c r="AM34" s="147" t="str">
        <f>IF(AND('Matriz riesgos de gestión'!$AD$67="Media",'Matriz riesgos de gestión'!$AF$67="Catastrófico"),CONCATENATE("R9C",'Matriz riesgos de gestión'!$T$67),"")</f>
        <v/>
      </c>
      <c r="AN34" s="115"/>
      <c r="AO34" s="684"/>
      <c r="AP34" s="670"/>
      <c r="AQ34" s="670"/>
      <c r="AR34" s="670"/>
      <c r="AS34" s="670"/>
      <c r="AT34" s="685"/>
      <c r="AU34" s="115"/>
      <c r="AV34" s="115"/>
      <c r="AW34" s="115"/>
      <c r="AX34" s="115"/>
      <c r="AY34" s="115"/>
      <c r="AZ34" s="115"/>
      <c r="BA34" s="115"/>
      <c r="BB34" s="115"/>
      <c r="BC34" s="115"/>
      <c r="BD34" s="115"/>
      <c r="BE34" s="115"/>
      <c r="BF34" s="115"/>
      <c r="BG34" s="115"/>
      <c r="BH34" s="115"/>
      <c r="BI34" s="115"/>
    </row>
    <row r="35" spans="1:61" ht="15.75" customHeight="1" x14ac:dyDescent="0.25">
      <c r="A35" s="115"/>
      <c r="B35" s="654"/>
      <c r="C35" s="670"/>
      <c r="D35" s="653"/>
      <c r="E35" s="671"/>
      <c r="F35" s="672"/>
      <c r="G35" s="672"/>
      <c r="H35" s="672"/>
      <c r="I35" s="673"/>
      <c r="J35" s="154" t="str">
        <f>IF(AND('Matriz riesgos de gestión'!$AD$68="Media",'Matriz riesgos de gestión'!$AF$68="Leve"),CONCATENATE("R10C",'Matriz riesgos de gestión'!$T$68),"")</f>
        <v/>
      </c>
      <c r="K35" s="155" t="str">
        <f>IF(AND('Matriz riesgos de gestión'!$AD$69="Media",'Matriz riesgos de gestión'!$AF$69="Leve"),CONCATENATE("R10C",'Matriz riesgos de gestión'!$T$69),"")</f>
        <v/>
      </c>
      <c r="L35" s="155" t="str">
        <f>IF(AND('Matriz riesgos de gestión'!$AD$70="Media",'Matriz riesgos de gestión'!$AF$70="Leve"),CONCATENATE("R10C",'Matriz riesgos de gestión'!$T$70),"")</f>
        <v/>
      </c>
      <c r="M35" s="155" t="str">
        <f>IF(AND('Matriz riesgos de gestión'!$AD$71="Media",'Matriz riesgos de gestión'!$AF$71="Leve"),CONCATENATE("R10C",'Matriz riesgos de gestión'!$T$71),"")</f>
        <v/>
      </c>
      <c r="N35" s="155" t="str">
        <f>IF(AND('Matriz riesgos de gestión'!$AD$72="Media",'Matriz riesgos de gestión'!$AF$72="Leve"),CONCATENATE("R10C",'Matriz riesgos de gestión'!$T$72),"")</f>
        <v/>
      </c>
      <c r="O35" s="156" t="str">
        <f>IF(AND('Matriz riesgos de gestión'!$AD$73="Media",'Matriz riesgos de gestión'!$AF$73="Leve"),CONCATENATE("R10C",'Matriz riesgos de gestión'!$T$73),"")</f>
        <v/>
      </c>
      <c r="P35" s="154" t="str">
        <f>IF(AND('Matriz riesgos de gestión'!$AD$68="Media",'Matriz riesgos de gestión'!$AF$68="Menor"),CONCATENATE("R10C",'Matriz riesgos de gestión'!$T$68),"")</f>
        <v/>
      </c>
      <c r="Q35" s="155" t="str">
        <f>IF(AND('Matriz riesgos de gestión'!$AD$69="Media",'Matriz riesgos de gestión'!$AF$69="Menor"),CONCATENATE("R10C",'Matriz riesgos de gestión'!$T$69),"")</f>
        <v/>
      </c>
      <c r="R35" s="155" t="str">
        <f>IF(AND('Matriz riesgos de gestión'!$AD$70="Media",'Matriz riesgos de gestión'!$AF$70="Menor"),CONCATENATE("R10C",'Matriz riesgos de gestión'!$T$70),"")</f>
        <v/>
      </c>
      <c r="S35" s="155" t="str">
        <f>IF(AND('Matriz riesgos de gestión'!$AD$71="Media",'Matriz riesgos de gestión'!$AF$71="Menor"),CONCATENATE("R10C",'Matriz riesgos de gestión'!$T$71),"")</f>
        <v/>
      </c>
      <c r="T35" s="155" t="str">
        <f>IF(AND('Matriz riesgos de gestión'!$AD$72="Media",'Matriz riesgos de gestión'!$AF$72="Menor"),CONCATENATE("R10C",'Matriz riesgos de gestión'!$T$72),"")</f>
        <v/>
      </c>
      <c r="U35" s="156" t="str">
        <f>IF(AND('Matriz riesgos de gestión'!$AD$73="Media",'Matriz riesgos de gestión'!$AF$73="Menor"),CONCATENATE("R10C",'Matriz riesgos de gestión'!$T$73),"")</f>
        <v/>
      </c>
      <c r="V35" s="154" t="str">
        <f>IF(AND('Matriz riesgos de gestión'!$AD$68="Media",'Matriz riesgos de gestión'!$AF$68="Moderado"),CONCATENATE("R10C",'Matriz riesgos de gestión'!$T$68),"")</f>
        <v/>
      </c>
      <c r="W35" s="155" t="str">
        <f>IF(AND('Matriz riesgos de gestión'!$AD$69="Media",'Matriz riesgos de gestión'!$AF$69="Moderado"),CONCATENATE("R10C",'Matriz riesgos de gestión'!$T$69),"")</f>
        <v/>
      </c>
      <c r="X35" s="155" t="str">
        <f>IF(AND('Matriz riesgos de gestión'!$AD$70="Media",'Matriz riesgos de gestión'!$AF$70="Moderado"),CONCATENATE("R10C",'Matriz riesgos de gestión'!$T$70),"")</f>
        <v/>
      </c>
      <c r="Y35" s="155" t="str">
        <f>IF(AND('Matriz riesgos de gestión'!$AD$71="Media",'Matriz riesgos de gestión'!$AF$71="Moderado"),CONCATENATE("R10C",'Matriz riesgos de gestión'!$T$71),"")</f>
        <v/>
      </c>
      <c r="Z35" s="155" t="str">
        <f>IF(AND('Matriz riesgos de gestión'!$AD$72="Media",'Matriz riesgos de gestión'!$AF$72="Moderado"),CONCATENATE("R10C",'Matriz riesgos de gestión'!$T$72),"")</f>
        <v/>
      </c>
      <c r="AA35" s="156" t="str">
        <f>IF(AND('Matriz riesgos de gestión'!$AD$73="Media",'Matriz riesgos de gestión'!$AF$73="Moderado"),CONCATENATE("R10C",'Matriz riesgos de gestión'!$T$73),"")</f>
        <v/>
      </c>
      <c r="AB35" s="148" t="str">
        <f>IF(AND('Matriz riesgos de gestión'!$AD$68="Media",'Matriz riesgos de gestión'!$AF$68="Mayor"),CONCATENATE("R10C",'Matriz riesgos de gestión'!$T$68),"")</f>
        <v/>
      </c>
      <c r="AC35" s="149" t="str">
        <f>IF(AND('Matriz riesgos de gestión'!$AD$69="Media",'Matriz riesgos de gestión'!$AF$69="Mayor"),CONCATENATE("R10C",'Matriz riesgos de gestión'!$T$69),"")</f>
        <v/>
      </c>
      <c r="AD35" s="149" t="str">
        <f>IF(AND('Matriz riesgos de gestión'!$AD$70="Media",'Matriz riesgos de gestión'!$AF$70="Mayor"),CONCATENATE("R10C",'Matriz riesgos de gestión'!$T$70),"")</f>
        <v/>
      </c>
      <c r="AE35" s="149" t="str">
        <f>IF(AND('Matriz riesgos de gestión'!$AD$71="Media",'Matriz riesgos de gestión'!$AF$71="Mayor"),CONCATENATE("R10C",'Matriz riesgos de gestión'!$T$71),"")</f>
        <v/>
      </c>
      <c r="AF35" s="149" t="str">
        <f>IF(AND('Matriz riesgos de gestión'!$AD$72="Media",'Matriz riesgos de gestión'!$AF$72="Mayor"),CONCATENATE("R10C",'Matriz riesgos de gestión'!$T$72),"")</f>
        <v/>
      </c>
      <c r="AG35" s="150" t="str">
        <f>IF(AND('Matriz riesgos de gestión'!$AD$73="Media",'Matriz riesgos de gestión'!$AF$73="Mayor"),CONCATENATE("R10C",'Matriz riesgos de gestión'!$T$73),"")</f>
        <v/>
      </c>
      <c r="AH35" s="151" t="str">
        <f>IF(AND('Matriz riesgos de gestión'!$AD$68="Media",'Matriz riesgos de gestión'!$AF$68="Catastrófico"),CONCATENATE("R10C",'Matriz riesgos de gestión'!$T$68),"")</f>
        <v/>
      </c>
      <c r="AI35" s="152" t="str">
        <f>IF(AND('Matriz riesgos de gestión'!$AD$69="Media",'Matriz riesgos de gestión'!$AF$69="Catastrófico"),CONCATENATE("R10C",'Matriz riesgos de gestión'!$T$69),"")</f>
        <v/>
      </c>
      <c r="AJ35" s="152" t="str">
        <f>IF(AND('Matriz riesgos de gestión'!$AD$70="Media",'Matriz riesgos de gestión'!$AF$70="Catastrófico"),CONCATENATE("R10C",'Matriz riesgos de gestión'!$T$70),"")</f>
        <v/>
      </c>
      <c r="AK35" s="152" t="str">
        <f>IF(AND('Matriz riesgos de gestión'!$AD$71="Media",'Matriz riesgos de gestión'!$AF$71="Catastrófico"),CONCATENATE("R10C",'Matriz riesgos de gestión'!$T$71),"")</f>
        <v/>
      </c>
      <c r="AL35" s="152" t="str">
        <f>IF(AND('Matriz riesgos de gestión'!$AD$72="Media",'Matriz riesgos de gestión'!$AF$72="Catastrófico"),CONCATENATE("R10C",'Matriz riesgos de gestión'!$T$72),"")</f>
        <v/>
      </c>
      <c r="AM35" s="153" t="str">
        <f>IF(AND('Matriz riesgos de gestión'!$AD$73="Media",'Matriz riesgos de gestión'!$AF$73="Catastrófico"),CONCATENATE("R10C",'Matriz riesgos de gestión'!$T$73),"")</f>
        <v/>
      </c>
      <c r="AN35" s="115"/>
      <c r="AO35" s="686"/>
      <c r="AP35" s="687"/>
      <c r="AQ35" s="687"/>
      <c r="AR35" s="687"/>
      <c r="AS35" s="687"/>
      <c r="AT35" s="688"/>
      <c r="AU35" s="115"/>
      <c r="AV35" s="115"/>
      <c r="AW35" s="115"/>
      <c r="AX35" s="115"/>
      <c r="AY35" s="115"/>
      <c r="AZ35" s="115"/>
      <c r="BA35" s="115"/>
      <c r="BB35" s="115"/>
      <c r="BC35" s="115"/>
      <c r="BD35" s="115"/>
      <c r="BE35" s="115"/>
      <c r="BF35" s="115"/>
      <c r="BG35" s="115"/>
      <c r="BH35" s="115"/>
      <c r="BI35" s="115"/>
    </row>
    <row r="36" spans="1:61" ht="15" customHeight="1" x14ac:dyDescent="0.25">
      <c r="A36" s="115"/>
      <c r="B36" s="654"/>
      <c r="C36" s="670"/>
      <c r="D36" s="653"/>
      <c r="E36" s="693" t="s">
        <v>9</v>
      </c>
      <c r="F36" s="656"/>
      <c r="G36" s="656"/>
      <c r="H36" s="656"/>
      <c r="I36" s="656"/>
      <c r="J36" s="28" t="str">
        <f>IF(AND('Matriz riesgos de gestión'!$AD$4="Baja",'Matriz riesgos de gestión'!$AF$4="Leve"),CONCATENATE("R1C",'Matriz riesgos de gestión'!$T$4),"")</f>
        <v/>
      </c>
      <c r="K36" s="29" t="str">
        <f>IF(AND('Matriz riesgos de gestión'!$AD$5="Baja",'Matriz riesgos de gestión'!$AF$5="Leve"),CONCATENATE("R1C",'Matriz riesgos de gestión'!$T$5),"")</f>
        <v/>
      </c>
      <c r="L36" s="29" t="str">
        <f>IF(AND('Matriz riesgos de gestión'!$AD$6="Baja",'Matriz riesgos de gestión'!$AF$6="Leve"),CONCATENATE("R1C",'Matriz riesgos de gestión'!$T$6),"")</f>
        <v/>
      </c>
      <c r="M36" s="29" t="str">
        <f>IF(AND('Matriz riesgos de gestión'!$AD$7="Baja",'Matriz riesgos de gestión'!$AF$7="Leve"),CONCATENATE("R1C",'Matriz riesgos de gestión'!$T$7),"")</f>
        <v/>
      </c>
      <c r="N36" s="29" t="str">
        <f>IF(AND('Matriz riesgos de gestión'!$AD$8="Baja",'Matriz riesgos de gestión'!$AF$8="Leve"),CONCATENATE("R1C",'Matriz riesgos de gestión'!$T$8),"")</f>
        <v/>
      </c>
      <c r="O36" s="30" t="str">
        <f>IF(AND('Matriz riesgos de gestión'!$AD$9="Baja",'Matriz riesgos de gestión'!$AF$9="Leve"),CONCATENATE("R1C",'Matriz riesgos de gestión'!$T$9),"")</f>
        <v/>
      </c>
      <c r="P36" s="25" t="str">
        <f>IF(AND('Matriz riesgos de gestión'!$AD$4="Baja",'Matriz riesgos de gestión'!$AF$4="Menor"),CONCATENATE("R1C",'Matriz riesgos de gestión'!$T$4),"")</f>
        <v>R1C1</v>
      </c>
      <c r="Q36" s="26" t="str">
        <f>IF(AND('Matriz riesgos de gestión'!$AD$5="Baja",'Matriz riesgos de gestión'!$AF$5="Menor"),CONCATENATE("R1C",'Matriz riesgos de gestión'!$T$5),"")</f>
        <v>R1C1</v>
      </c>
      <c r="R36" s="26" t="str">
        <f>IF(AND('Matriz riesgos de gestión'!$AD$6="Baja",'Matriz riesgos de gestión'!$AF$6="Menor"),CONCATENATE("R1C",'Matriz riesgos de gestión'!$T$6),"")</f>
        <v>R1C1</v>
      </c>
      <c r="S36" s="26" t="str">
        <f>IF(AND('Matriz riesgos de gestión'!$AD$7="Baja",'Matriz riesgos de gestión'!$AF$7="Menor"),CONCATENATE("R1C",'Matriz riesgos de gestión'!$T$7),"")</f>
        <v>R1C1</v>
      </c>
      <c r="T36" s="26" t="str">
        <f>IF(AND('Matriz riesgos de gestión'!$AD$8="Baja",'Matriz riesgos de gestión'!$AF$8="Menor"),CONCATENATE("R1C",'Matriz riesgos de gestión'!$T$8),"")</f>
        <v/>
      </c>
      <c r="U36" s="27" t="str">
        <f>IF(AND('Matriz riesgos de gestión'!$AD$9="Baja",'Matriz riesgos de gestión'!$AF$9="Menor"),CONCATENATE("R1C",'Matriz riesgos de gestión'!$T$9),"")</f>
        <v/>
      </c>
      <c r="V36" s="25" t="str">
        <f>IF(AND('Matriz riesgos de gestión'!$AD$4="Baja",'Matriz riesgos de gestión'!$AF$4="Moderado"),CONCATENATE("R1C",'Matriz riesgos de gestión'!$T$4),"")</f>
        <v/>
      </c>
      <c r="W36" s="26" t="str">
        <f>IF(AND('Matriz riesgos de gestión'!$AD$5="Baja",'Matriz riesgos de gestión'!$AF$5="Moderado"),CONCATENATE("R1C",'Matriz riesgos de gestión'!$T$5),"")</f>
        <v/>
      </c>
      <c r="X36" s="26" t="str">
        <f>IF(AND('Matriz riesgos de gestión'!$AD$6="Baja",'Matriz riesgos de gestión'!$AF$6="Moderado"),CONCATENATE("R1C",'Matriz riesgos de gestión'!$T$6),"")</f>
        <v/>
      </c>
      <c r="Y36" s="26" t="str">
        <f>IF(AND('Matriz riesgos de gestión'!$AD$7="Baja",'Matriz riesgos de gestión'!$AF$7="Moderado"),CONCATENATE("R1C",'Matriz riesgos de gestión'!$T$7),"")</f>
        <v/>
      </c>
      <c r="Z36" s="26" t="str">
        <f>IF(AND('Matriz riesgos de gestión'!$AD$8="Baja",'Matriz riesgos de gestión'!$AF$8="Moderado"),CONCATENATE("R1C",'Matriz riesgos de gestión'!$T$8),"")</f>
        <v/>
      </c>
      <c r="AA36" s="27" t="str">
        <f>IF(AND('Matriz riesgos de gestión'!$AD$9="Baja",'Matriz riesgos de gestión'!$AF$9="Moderado"),CONCATENATE("R1C",'Matriz riesgos de gestión'!$T$9),"")</f>
        <v>R1C1</v>
      </c>
      <c r="AB36" s="19" t="str">
        <f>IF(AND('Matriz riesgos de gestión'!$AD$4="Baja",'Matriz riesgos de gestión'!$AF$4="Mayor"),CONCATENATE("R1C",'Matriz riesgos de gestión'!$T$4),"")</f>
        <v/>
      </c>
      <c r="AC36" s="20" t="str">
        <f>IF(AND('Matriz riesgos de gestión'!$AD$5="Baja",'Matriz riesgos de gestión'!$AF$5="Mayor"),CONCATENATE("R1C",'Matriz riesgos de gestión'!$T$5),"")</f>
        <v/>
      </c>
      <c r="AD36" s="20" t="str">
        <f>IF(AND('Matriz riesgos de gestión'!$AD$6="Baja",'Matriz riesgos de gestión'!$AF$6="Mayor"),CONCATENATE("R1C",'Matriz riesgos de gestión'!$T$6),"")</f>
        <v/>
      </c>
      <c r="AE36" s="20" t="str">
        <f>IF(AND('Matriz riesgos de gestión'!$AD$7="Baja",'Matriz riesgos de gestión'!$AF$7="Mayor"),CONCATENATE("R1C",'Matriz riesgos de gestión'!$T$7),"")</f>
        <v/>
      </c>
      <c r="AF36" s="20" t="str">
        <f>IF(AND('Matriz riesgos de gestión'!$AD$8="Baja",'Matriz riesgos de gestión'!$AF$8="Mayor"),CONCATENATE("R1C",'Matriz riesgos de gestión'!$T$8),"")</f>
        <v/>
      </c>
      <c r="AG36" s="21" t="str">
        <f>IF(AND('Matriz riesgos de gestión'!$AD$9="Baja",'Matriz riesgos de gestión'!$AF$9="Mayor"),CONCATENATE("R1C",'Matriz riesgos de gestión'!$T$9),"")</f>
        <v/>
      </c>
      <c r="AH36" s="22" t="str">
        <f>IF(AND('Matriz riesgos de gestión'!$AD$4="Baja",'Matriz riesgos de gestión'!$AF$4="Catastrófico"),CONCATENATE("R1C",'Matriz riesgos de gestión'!$T$4),"")</f>
        <v/>
      </c>
      <c r="AI36" s="23" t="str">
        <f>IF(AND('Matriz riesgos de gestión'!$AD$5="Baja",'Matriz riesgos de gestión'!$AF$5="Catastrófico"),CONCATENATE("R1C",'Matriz riesgos de gestión'!$T$5),"")</f>
        <v/>
      </c>
      <c r="AJ36" s="23" t="str">
        <f>IF(AND('Matriz riesgos de gestión'!$AD$6="Baja",'Matriz riesgos de gestión'!$AF$6="Catastrófico"),CONCATENATE("R1C",'Matriz riesgos de gestión'!$T$6),"")</f>
        <v/>
      </c>
      <c r="AK36" s="23" t="str">
        <f>IF(AND('Matriz riesgos de gestión'!$AD$7="Baja",'Matriz riesgos de gestión'!$AF$7="Catastrófico"),CONCATENATE("R1C",'Matriz riesgos de gestión'!$T$7),"")</f>
        <v/>
      </c>
      <c r="AL36" s="23" t="str">
        <f>IF(AND('Matriz riesgos de gestión'!$AD$8="Baja",'Matriz riesgos de gestión'!$AF$8="Catastrófico"),CONCATENATE("R1C",'Matriz riesgos de gestión'!$T$8),"")</f>
        <v/>
      </c>
      <c r="AM36" s="24" t="str">
        <f>IF(AND('Matriz riesgos de gestión'!$AD$9="Baja",'Matriz riesgos de gestión'!$AF$9="Catastrófico"),CONCATENATE("R1C",'Matriz riesgos de gestión'!$T$9),"")</f>
        <v/>
      </c>
      <c r="AN36" s="115"/>
      <c r="AO36" s="697" t="s">
        <v>10</v>
      </c>
      <c r="AP36" s="682"/>
      <c r="AQ36" s="682"/>
      <c r="AR36" s="682"/>
      <c r="AS36" s="682"/>
      <c r="AT36" s="683"/>
      <c r="AU36" s="115"/>
      <c r="AV36" s="115"/>
      <c r="AW36" s="115"/>
      <c r="AX36" s="115"/>
      <c r="AY36" s="115"/>
      <c r="AZ36" s="115"/>
      <c r="BA36" s="115"/>
      <c r="BB36" s="115"/>
      <c r="BC36" s="115"/>
      <c r="BD36" s="115"/>
      <c r="BE36" s="115"/>
      <c r="BF36" s="115"/>
      <c r="BG36" s="115"/>
      <c r="BH36" s="115"/>
      <c r="BI36" s="115"/>
    </row>
    <row r="37" spans="1:61" ht="15" customHeight="1" x14ac:dyDescent="0.25">
      <c r="A37" s="115"/>
      <c r="B37" s="654"/>
      <c r="C37" s="670"/>
      <c r="D37" s="653"/>
      <c r="E37" s="659"/>
      <c r="F37" s="670"/>
      <c r="G37" s="670"/>
      <c r="H37" s="670"/>
      <c r="I37" s="670"/>
      <c r="J37" s="160" t="str">
        <f>IF(AND('Matriz riesgos de gestión'!$AD$15="Baja",'Matriz riesgos de gestión'!$AF$15="Leve"),CONCATENATE("R2C",'Matriz riesgos de gestión'!$T$15),"")</f>
        <v/>
      </c>
      <c r="K37" s="161" t="str">
        <f>IF(AND('Matriz riesgos de gestión'!$AD$16="Baja",'Matriz riesgos de gestión'!$AF$16="Leve"),CONCATENATE("R2C",'Matriz riesgos de gestión'!$T$16),"")</f>
        <v/>
      </c>
      <c r="L37" s="161" t="str">
        <f>IF(AND('Matriz riesgos de gestión'!$AD$17="Baja",'Matriz riesgos de gestión'!$AF$17="Leve"),CONCATENATE("R2C",'Matriz riesgos de gestión'!$T$17),"")</f>
        <v/>
      </c>
      <c r="M37" s="161" t="str">
        <f>IF(AND('Matriz riesgos de gestión'!$AD$22="Baja",'Matriz riesgos de gestión'!$AF$22="Leve"),CONCATENATE("R2C",'Matriz riesgos de gestión'!$T$22),"")</f>
        <v/>
      </c>
      <c r="N37" s="161" t="str">
        <f>IF(AND('Matriz riesgos de gestión'!$AD$23="Baja",'Matriz riesgos de gestión'!$AF$23="Leve"),CONCATENATE("R2C",'Matriz riesgos de gestión'!$T$23),"")</f>
        <v/>
      </c>
      <c r="O37" s="162" t="str">
        <f>IF(AND('Matriz riesgos de gestión'!$AD$24="Baja",'Matriz riesgos de gestión'!$AF$24="Leve"),CONCATENATE("R2C",'Matriz riesgos de gestión'!$T$24),"")</f>
        <v/>
      </c>
      <c r="P37" s="154" t="str">
        <f>IF(AND('Matriz riesgos de gestión'!$AD$15="Baja",'Matriz riesgos de gestión'!$AF$15="Menor"),CONCATENATE("R2C",'Matriz riesgos de gestión'!$T$15),"")</f>
        <v/>
      </c>
      <c r="Q37" s="155" t="str">
        <f>IF(AND('Matriz riesgos de gestión'!$AD$16="Baja",'Matriz riesgos de gestión'!$AF$16="Menor"),CONCATENATE("R2C",'Matriz riesgos de gestión'!$T$16),"")</f>
        <v/>
      </c>
      <c r="R37" s="155" t="str">
        <f>IF(AND('Matriz riesgos de gestión'!$AD$17="Baja",'Matriz riesgos de gestión'!$AF$17="Menor"),CONCATENATE("R2C",'Matriz riesgos de gestión'!$T$17),"")</f>
        <v/>
      </c>
      <c r="S37" s="155" t="str">
        <f>IF(AND('Matriz riesgos de gestión'!$AD$22="Baja",'Matriz riesgos de gestión'!$AF$22="Menor"),CONCATENATE("R2C",'Matriz riesgos de gestión'!$T$22),"")</f>
        <v/>
      </c>
      <c r="T37" s="155" t="str">
        <f>IF(AND('Matriz riesgos de gestión'!$AD$23="Baja",'Matriz riesgos de gestión'!$AF$23="Menor"),CONCATENATE("R2C",'Matriz riesgos de gestión'!$T$23),"")</f>
        <v/>
      </c>
      <c r="U37" s="156" t="str">
        <f>IF(AND('Matriz riesgos de gestión'!$AD$24="Baja",'Matriz riesgos de gestión'!$AF$24="Menor"),CONCATENATE("R2C",'Matriz riesgos de gestión'!$T$24),"")</f>
        <v/>
      </c>
      <c r="V37" s="154" t="str">
        <f>IF(AND('Matriz riesgos de gestión'!$AD$15="Baja",'Matriz riesgos de gestión'!$AF$15="Moderado"),CONCATENATE("R2C",'Matriz riesgos de gestión'!$T$15),"")</f>
        <v/>
      </c>
      <c r="W37" s="155" t="str">
        <f>IF(AND('Matriz riesgos de gestión'!$AD$16="Baja",'Matriz riesgos de gestión'!$AF$16="Moderado"),CONCATENATE("R2C",'Matriz riesgos de gestión'!$T$16),"")</f>
        <v>R2C2</v>
      </c>
      <c r="X37" s="155" t="str">
        <f>IF(AND('Matriz riesgos de gestión'!$AD$17="Baja",'Matriz riesgos de gestión'!$AF$17="Moderado"),CONCATENATE("R2C",'Matriz riesgos de gestión'!$T$17),"")</f>
        <v>R2C3</v>
      </c>
      <c r="Y37" s="155" t="str">
        <f>IF(AND('Matriz riesgos de gestión'!$AD$22="Baja",'Matriz riesgos de gestión'!$AF$22="Moderado"),CONCATENATE("R2C",'Matriz riesgos de gestión'!$T$22),"")</f>
        <v/>
      </c>
      <c r="Z37" s="155" t="str">
        <f>IF(AND('Matriz riesgos de gestión'!$AD$23="Baja",'Matriz riesgos de gestión'!$AF$23="Moderado"),CONCATENATE("R2C",'Matriz riesgos de gestión'!$T$23),"")</f>
        <v/>
      </c>
      <c r="AA37" s="156" t="str">
        <f>IF(AND('Matriz riesgos de gestión'!$AD$24="Baja",'Matriz riesgos de gestión'!$AF$24="Moderado"),CONCATENATE("R2C",'Matriz riesgos de gestión'!$T$24),"")</f>
        <v/>
      </c>
      <c r="AB37" s="142" t="str">
        <f>IF(AND('Matriz riesgos de gestión'!$AD$15="Baja",'Matriz riesgos de gestión'!$AF$15="Mayor"),CONCATENATE("R2C",'Matriz riesgos de gestión'!$T$15),"")</f>
        <v>R2C1</v>
      </c>
      <c r="AC37" s="143" t="str">
        <f>IF(AND('Matriz riesgos de gestión'!$AD$16="Baja",'Matriz riesgos de gestión'!$AF$16="Mayor"),CONCATENATE("R2C",'Matriz riesgos de gestión'!$T$16),"")</f>
        <v/>
      </c>
      <c r="AD37" s="143" t="str">
        <f>IF(AND('Matriz riesgos de gestión'!$AD$17="Baja",'Matriz riesgos de gestión'!$AF$17="Mayor"),CONCATENATE("R2C",'Matriz riesgos de gestión'!$T$17),"")</f>
        <v/>
      </c>
      <c r="AE37" s="143" t="str">
        <f>IF(AND('Matriz riesgos de gestión'!$AD$22="Baja",'Matriz riesgos de gestión'!$AF$22="Mayor"),CONCATENATE("R2C",'Matriz riesgos de gestión'!$T$22),"")</f>
        <v/>
      </c>
      <c r="AF37" s="143" t="str">
        <f>IF(AND('Matriz riesgos de gestión'!$AD$23="Baja",'Matriz riesgos de gestión'!$AF$23="Mayor"),CONCATENATE("R2C",'Matriz riesgos de gestión'!$T$23),"")</f>
        <v/>
      </c>
      <c r="AG37" s="144" t="str">
        <f>IF(AND('Matriz riesgos de gestión'!$AD$24="Baja",'Matriz riesgos de gestión'!$AF$24="Mayor"),CONCATENATE("R2C",'Matriz riesgos de gestión'!$T$24),"")</f>
        <v/>
      </c>
      <c r="AH37" s="145" t="str">
        <f>IF(AND('Matriz riesgos de gestión'!$AD$15="Baja",'Matriz riesgos de gestión'!$AF$15="Catastrófico"),CONCATENATE("R2C",'Matriz riesgos de gestión'!$T$15),"")</f>
        <v/>
      </c>
      <c r="AI37" s="146" t="str">
        <f>IF(AND('Matriz riesgos de gestión'!$AD$16="Baja",'Matriz riesgos de gestión'!$AF$16="Catastrófico"),CONCATENATE("R2C",'Matriz riesgos de gestión'!$T$16),"")</f>
        <v/>
      </c>
      <c r="AJ37" s="146" t="str">
        <f>IF(AND('Matriz riesgos de gestión'!$AD$17="Baja",'Matriz riesgos de gestión'!$AF$17="Catastrófico"),CONCATENATE("R2C",'Matriz riesgos de gestión'!$T$17),"")</f>
        <v/>
      </c>
      <c r="AK37" s="146" t="str">
        <f>IF(AND('Matriz riesgos de gestión'!$AD$22="Baja",'Matriz riesgos de gestión'!$AF$22="Catastrófico"),CONCATENATE("R2C",'Matriz riesgos de gestión'!$T$22),"")</f>
        <v/>
      </c>
      <c r="AL37" s="146" t="str">
        <f>IF(AND('Matriz riesgos de gestión'!$AD$23="Baja",'Matriz riesgos de gestión'!$AF$23="Catastrófico"),CONCATENATE("R2C",'Matriz riesgos de gestión'!$T$23),"")</f>
        <v/>
      </c>
      <c r="AM37" s="147" t="str">
        <f>IF(AND('Matriz riesgos de gestión'!$AD$24="Baja",'Matriz riesgos de gestión'!$AF$24="Catastrófico"),CONCATENATE("R2C",'Matriz riesgos de gestión'!$T$24),"")</f>
        <v/>
      </c>
      <c r="AN37" s="115"/>
      <c r="AO37" s="684"/>
      <c r="AP37" s="670"/>
      <c r="AQ37" s="670"/>
      <c r="AR37" s="670"/>
      <c r="AS37" s="670"/>
      <c r="AT37" s="685"/>
      <c r="AU37" s="115"/>
      <c r="AV37" s="115"/>
      <c r="AW37" s="115"/>
      <c r="AX37" s="115"/>
      <c r="AY37" s="115"/>
      <c r="AZ37" s="115"/>
      <c r="BA37" s="115"/>
      <c r="BB37" s="115"/>
      <c r="BC37" s="115"/>
      <c r="BD37" s="115"/>
      <c r="BE37" s="115"/>
      <c r="BF37" s="115"/>
      <c r="BG37" s="115"/>
      <c r="BH37" s="115"/>
      <c r="BI37" s="115"/>
    </row>
    <row r="38" spans="1:61" ht="15" customHeight="1" x14ac:dyDescent="0.25">
      <c r="A38" s="115"/>
      <c r="B38" s="654"/>
      <c r="C38" s="670"/>
      <c r="D38" s="653"/>
      <c r="E38" s="659"/>
      <c r="F38" s="670"/>
      <c r="G38" s="670"/>
      <c r="H38" s="670"/>
      <c r="I38" s="670"/>
      <c r="J38" s="160" t="str">
        <f>IF(AND('Matriz riesgos de gestión'!$AD$25="Baja",'Matriz riesgos de gestión'!$AF$25="Leve"),CONCATENATE("R3C",'Matriz riesgos de gestión'!$T$25),"")</f>
        <v/>
      </c>
      <c r="K38" s="161" t="str">
        <f>IF(AND('Matriz riesgos de gestión'!$AD$26="Baja",'Matriz riesgos de gestión'!$AF$26="Leve"),CONCATENATE("R3C",'Matriz riesgos de gestión'!$T$26),"")</f>
        <v/>
      </c>
      <c r="L38" s="161" t="str">
        <f>IF(AND('Matriz riesgos de gestión'!$AD$27="Baja",'Matriz riesgos de gestión'!$AF$27="Leve"),CONCATENATE("R3C",'Matriz riesgos de gestión'!$T$27),"")</f>
        <v/>
      </c>
      <c r="M38" s="161" t="str">
        <f>IF(AND('Matriz riesgos de gestión'!$AD$29="Baja",'Matriz riesgos de gestión'!$AF$29="Leve"),CONCATENATE("R3C",'Matriz riesgos de gestión'!$T$29),"")</f>
        <v/>
      </c>
      <c r="N38" s="161" t="str">
        <f>IF(AND('Matriz riesgos de gestión'!$AD$30="Baja",'Matriz riesgos de gestión'!$AF$30="Leve"),CONCATENATE("R3C",'Matriz riesgos de gestión'!$T$30),"")</f>
        <v/>
      </c>
      <c r="O38" s="162" t="str">
        <f>IF(AND('Matriz riesgos de gestión'!$AD$31="Baja",'Matriz riesgos de gestión'!$AF$31="Leve"),CONCATENATE("R3C",'Matriz riesgos de gestión'!$T$31),"")</f>
        <v/>
      </c>
      <c r="P38" s="154" t="str">
        <f>IF(AND('Matriz riesgos de gestión'!$AD$25="Baja",'Matriz riesgos de gestión'!$AF$25="Menor"),CONCATENATE("R3C",'Matriz riesgos de gestión'!$T$25),"")</f>
        <v/>
      </c>
      <c r="Q38" s="155" t="str">
        <f>IF(AND('Matriz riesgos de gestión'!$AD$26="Baja",'Matriz riesgos de gestión'!$AF$26="Menor"),CONCATENATE("R3C",'Matriz riesgos de gestión'!$T$26),"")</f>
        <v/>
      </c>
      <c r="R38" s="155" t="str">
        <f>IF(AND('Matriz riesgos de gestión'!$AD$27="Baja",'Matriz riesgos de gestión'!$AF$27="Menor"),CONCATENATE("R3C",'Matriz riesgos de gestión'!$T$27),"")</f>
        <v/>
      </c>
      <c r="S38" s="155" t="str">
        <f>IF(AND('Matriz riesgos de gestión'!$AD$29="Baja",'Matriz riesgos de gestión'!$AF$29="Menor"),CONCATENATE("R3C",'Matriz riesgos de gestión'!$T$29),"")</f>
        <v/>
      </c>
      <c r="T38" s="155" t="str">
        <f>IF(AND('Matriz riesgos de gestión'!$AD$30="Baja",'Matriz riesgos de gestión'!$AF$30="Menor"),CONCATENATE("R3C",'Matriz riesgos de gestión'!$T$30),"")</f>
        <v/>
      </c>
      <c r="U38" s="156" t="str">
        <f>IF(AND('Matriz riesgos de gestión'!$AD$31="Baja",'Matriz riesgos de gestión'!$AF$31="Menor"),CONCATENATE("R3C",'Matriz riesgos de gestión'!$T$31),"")</f>
        <v/>
      </c>
      <c r="V38" s="154" t="str">
        <f>IF(AND('Matriz riesgos de gestión'!$AD$25="Baja",'Matriz riesgos de gestión'!$AF$25="Moderado"),CONCATENATE("R3C",'Matriz riesgos de gestión'!$T$25),"")</f>
        <v>R3C1</v>
      </c>
      <c r="W38" s="155" t="str">
        <f>IF(AND('Matriz riesgos de gestión'!$AD$26="Baja",'Matriz riesgos de gestión'!$AF$26="Moderado"),CONCATENATE("R3C",'Matriz riesgos de gestión'!$T$26),"")</f>
        <v/>
      </c>
      <c r="X38" s="155" t="str">
        <f>IF(AND('Matriz riesgos de gestión'!$AD$27="Baja",'Matriz riesgos de gestión'!$AF$27="Moderado"),CONCATENATE("R3C",'Matriz riesgos de gestión'!$T$27),"")</f>
        <v/>
      </c>
      <c r="Y38" s="155" t="str">
        <f>IF(AND('Matriz riesgos de gestión'!$AD$29="Baja",'Matriz riesgos de gestión'!$AF$29="Moderado"),CONCATENATE("R3C",'Matriz riesgos de gestión'!$T$29),"")</f>
        <v/>
      </c>
      <c r="Z38" s="155" t="str">
        <f>IF(AND('Matriz riesgos de gestión'!$AD$30="Baja",'Matriz riesgos de gestión'!$AF$30="Moderado"),CONCATENATE("R3C",'Matriz riesgos de gestión'!$T$30),"")</f>
        <v/>
      </c>
      <c r="AA38" s="156" t="str">
        <f>IF(AND('Matriz riesgos de gestión'!$AD$31="Baja",'Matriz riesgos de gestión'!$AF$31="Moderado"),CONCATENATE("R3C",'Matriz riesgos de gestión'!$T$31),"")</f>
        <v/>
      </c>
      <c r="AB38" s="142" t="str">
        <f>IF(AND('Matriz riesgos de gestión'!$AD$25="Baja",'Matriz riesgos de gestión'!$AF$25="Mayor"),CONCATENATE("R3C",'Matriz riesgos de gestión'!$T$25),"")</f>
        <v/>
      </c>
      <c r="AC38" s="143" t="str">
        <f>IF(AND('Matriz riesgos de gestión'!$AD$26="Baja",'Matriz riesgos de gestión'!$AF$26="Mayor"),CONCATENATE("R3C",'Matriz riesgos de gestión'!$T$26),"")</f>
        <v>R3C2</v>
      </c>
      <c r="AD38" s="143" t="str">
        <f>IF(AND('Matriz riesgos de gestión'!$AD$27="Baja",'Matriz riesgos de gestión'!$AF$27="Mayor"),CONCATENATE("R3C",'Matriz riesgos de gestión'!$T$27),"")</f>
        <v/>
      </c>
      <c r="AE38" s="143" t="str">
        <f>IF(AND('Matriz riesgos de gestión'!$AD$29="Baja",'Matriz riesgos de gestión'!$AF$29="Mayor"),CONCATENATE("R3C",'Matriz riesgos de gestión'!$T$29),"")</f>
        <v/>
      </c>
      <c r="AF38" s="143" t="str">
        <f>IF(AND('Matriz riesgos de gestión'!$AD$30="Baja",'Matriz riesgos de gestión'!$AF$30="Mayor"),CONCATENATE("R3C",'Matriz riesgos de gestión'!$T$30),"")</f>
        <v/>
      </c>
      <c r="AG38" s="144" t="str">
        <f>IF(AND('Matriz riesgos de gestión'!$AD$31="Baja",'Matriz riesgos de gestión'!$AF$31="Mayor"),CONCATENATE("R3C",'Matriz riesgos de gestión'!$T$31),"")</f>
        <v/>
      </c>
      <c r="AH38" s="145" t="str">
        <f>IF(AND('Matriz riesgos de gestión'!$AD$25="Baja",'Matriz riesgos de gestión'!$AF$25="Catastrófico"),CONCATENATE("R3C",'Matriz riesgos de gestión'!$T$25),"")</f>
        <v/>
      </c>
      <c r="AI38" s="146" t="str">
        <f>IF(AND('Matriz riesgos de gestión'!$AD$26="Baja",'Matriz riesgos de gestión'!$AF$26="Catastrófico"),CONCATENATE("R3C",'Matriz riesgos de gestión'!$T$26),"")</f>
        <v/>
      </c>
      <c r="AJ38" s="146" t="str">
        <f>IF(AND('Matriz riesgos de gestión'!$AD$27="Baja",'Matriz riesgos de gestión'!$AF$27="Catastrófico"),CONCATENATE("R3C",'Matriz riesgos de gestión'!$T$27),"")</f>
        <v/>
      </c>
      <c r="AK38" s="146" t="str">
        <f>IF(AND('Matriz riesgos de gestión'!$AD$29="Baja",'Matriz riesgos de gestión'!$AF$29="Catastrófico"),CONCATENATE("R3C",'Matriz riesgos de gestión'!$T$29),"")</f>
        <v/>
      </c>
      <c r="AL38" s="146" t="str">
        <f>IF(AND('Matriz riesgos de gestión'!$AD$30="Baja",'Matriz riesgos de gestión'!$AF$30="Catastrófico"),CONCATENATE("R3C",'Matriz riesgos de gestión'!$T$30),"")</f>
        <v/>
      </c>
      <c r="AM38" s="147" t="str">
        <f>IF(AND('Matriz riesgos de gestión'!$AD$31="Baja",'Matriz riesgos de gestión'!$AF$31="Catastrófico"),CONCATENATE("R3C",'Matriz riesgos de gestión'!$T$31),"")</f>
        <v/>
      </c>
      <c r="AN38" s="115"/>
      <c r="AO38" s="684"/>
      <c r="AP38" s="670"/>
      <c r="AQ38" s="670"/>
      <c r="AR38" s="670"/>
      <c r="AS38" s="670"/>
      <c r="AT38" s="685"/>
      <c r="AU38" s="115"/>
      <c r="AV38" s="115"/>
      <c r="AW38" s="115"/>
      <c r="AX38" s="115"/>
      <c r="AY38" s="115"/>
      <c r="AZ38" s="115"/>
      <c r="BA38" s="115"/>
      <c r="BB38" s="115"/>
      <c r="BC38" s="115"/>
      <c r="BD38" s="115"/>
      <c r="BE38" s="115"/>
      <c r="BF38" s="115"/>
      <c r="BG38" s="115"/>
      <c r="BH38" s="115"/>
      <c r="BI38" s="115"/>
    </row>
    <row r="39" spans="1:61" ht="15" customHeight="1" x14ac:dyDescent="0.25">
      <c r="A39" s="115"/>
      <c r="B39" s="654"/>
      <c r="C39" s="670"/>
      <c r="D39" s="653"/>
      <c r="E39" s="659"/>
      <c r="F39" s="670"/>
      <c r="G39" s="670"/>
      <c r="H39" s="670"/>
      <c r="I39" s="670"/>
      <c r="J39" s="160" t="str">
        <f>IF(AND('Matriz riesgos de gestión'!$AD$32="Baja",'Matriz riesgos de gestión'!$AF$32="Leve"),CONCATENATE("R4C",'Matriz riesgos de gestión'!$T$32),"")</f>
        <v/>
      </c>
      <c r="K39" s="161" t="str">
        <f>IF(AND('Matriz riesgos de gestión'!$AD$33="Baja",'Matriz riesgos de gestión'!$AF$33="Leve"),CONCATENATE("R4C",'Matriz riesgos de gestión'!$T$33),"")</f>
        <v/>
      </c>
      <c r="L39" s="161" t="str">
        <f>IF(AND('Matriz riesgos de gestión'!$AD$34="Baja",'Matriz riesgos de gestión'!$AF$34="Leve"),CONCATENATE("R4C",'Matriz riesgos de gestión'!$T$34),"")</f>
        <v/>
      </c>
      <c r="M39" s="161" t="str">
        <f>IF(AND('Matriz riesgos de gestión'!$AD$35="Baja",'Matriz riesgos de gestión'!$AF$35="Leve"),CONCATENATE("R4C",'Matriz riesgos de gestión'!$T$35),"")</f>
        <v/>
      </c>
      <c r="N39" s="161" t="str">
        <f>IF(AND('Matriz riesgos de gestión'!$AD$36="Baja",'Matriz riesgos de gestión'!$AF$36="Leve"),CONCATENATE("R4C",'Matriz riesgos de gestión'!$T$36),"")</f>
        <v/>
      </c>
      <c r="O39" s="162" t="str">
        <f>IF(AND('Matriz riesgos de gestión'!$AD$37="Baja",'Matriz riesgos de gestión'!$AF$37="Leve"),CONCATENATE("R4C",'Matriz riesgos de gestión'!$T$37),"")</f>
        <v/>
      </c>
      <c r="P39" s="154" t="str">
        <f>IF(AND('Matriz riesgos de gestión'!$AD$32="Baja",'Matriz riesgos de gestión'!$AF$32="Menor"),CONCATENATE("R4C",'Matriz riesgos de gestión'!$T$32),"")</f>
        <v/>
      </c>
      <c r="Q39" s="155" t="str">
        <f>IF(AND('Matriz riesgos de gestión'!$AD$33="Baja",'Matriz riesgos de gestión'!$AF$33="Menor"),CONCATENATE("R4C",'Matriz riesgos de gestión'!$T$33),"")</f>
        <v/>
      </c>
      <c r="R39" s="155" t="str">
        <f>IF(AND('Matriz riesgos de gestión'!$AD$34="Baja",'Matriz riesgos de gestión'!$AF$34="Menor"),CONCATENATE("R4C",'Matriz riesgos de gestión'!$T$34),"")</f>
        <v/>
      </c>
      <c r="S39" s="155" t="str">
        <f>IF(AND('Matriz riesgos de gestión'!$AD$35="Baja",'Matriz riesgos de gestión'!$AF$35="Menor"),CONCATENATE("R4C",'Matriz riesgos de gestión'!$T$35),"")</f>
        <v/>
      </c>
      <c r="T39" s="155" t="str">
        <f>IF(AND('Matriz riesgos de gestión'!$AD$36="Baja",'Matriz riesgos de gestión'!$AF$36="Menor"),CONCATENATE("R4C",'Matriz riesgos de gestión'!$T$36),"")</f>
        <v/>
      </c>
      <c r="U39" s="156" t="str">
        <f>IF(AND('Matriz riesgos de gestión'!$AD$37="Baja",'Matriz riesgos de gestión'!$AF$37="Menor"),CONCATENATE("R4C",'Matriz riesgos de gestión'!$T$37),"")</f>
        <v/>
      </c>
      <c r="V39" s="154" t="str">
        <f>IF(AND('Matriz riesgos de gestión'!$AD$32="Baja",'Matriz riesgos de gestión'!$AF$32="Moderado"),CONCATENATE("R4C",'Matriz riesgos de gestión'!$T$32),"")</f>
        <v>R4C2</v>
      </c>
      <c r="W39" s="155" t="str">
        <f>IF(AND('Matriz riesgos de gestión'!$AD$33="Baja",'Matriz riesgos de gestión'!$AF$33="Moderado"),CONCATENATE("R4C",'Matriz riesgos de gestión'!$T$33),"")</f>
        <v/>
      </c>
      <c r="X39" s="155" t="str">
        <f>IF(AND('Matriz riesgos de gestión'!$AD$34="Baja",'Matriz riesgos de gestión'!$AF$34="Moderado"),CONCATENATE("R4C",'Matriz riesgos de gestión'!$T$34),"")</f>
        <v/>
      </c>
      <c r="Y39" s="155" t="str">
        <f>IF(AND('Matriz riesgos de gestión'!$AD$35="Baja",'Matriz riesgos de gestión'!$AF$35="Moderado"),CONCATENATE("R4C",'Matriz riesgos de gestión'!$T$35),"")</f>
        <v/>
      </c>
      <c r="Z39" s="155" t="str">
        <f>IF(AND('Matriz riesgos de gestión'!$AD$36="Baja",'Matriz riesgos de gestión'!$AF$36="Moderado"),CONCATENATE("R4C",'Matriz riesgos de gestión'!$T$36),"")</f>
        <v/>
      </c>
      <c r="AA39" s="156" t="str">
        <f>IF(AND('Matriz riesgos de gestión'!$AD$37="Baja",'Matriz riesgos de gestión'!$AF$37="Moderado"),CONCATENATE("R4C",'Matriz riesgos de gestión'!$T$37),"")</f>
        <v/>
      </c>
      <c r="AB39" s="142" t="str">
        <f>IF(AND('Matriz riesgos de gestión'!$AD$32="Baja",'Matriz riesgos de gestión'!$AF$32="Mayor"),CONCATENATE("R4C",'Matriz riesgos de gestión'!$T$32),"")</f>
        <v/>
      </c>
      <c r="AC39" s="143" t="str">
        <f>IF(AND('Matriz riesgos de gestión'!$AD$33="Baja",'Matriz riesgos de gestión'!$AF$33="Mayor"),CONCATENATE("R4C",'Matriz riesgos de gestión'!$T$33),"")</f>
        <v/>
      </c>
      <c r="AD39" s="143" t="str">
        <f>IF(AND('Matriz riesgos de gestión'!$AD$34="Baja",'Matriz riesgos de gestión'!$AF$34="Mayor"),CONCATENATE("R4C",'Matriz riesgos de gestión'!$T$34),"")</f>
        <v/>
      </c>
      <c r="AE39" s="143" t="str">
        <f>IF(AND('Matriz riesgos de gestión'!$AD$35="Baja",'Matriz riesgos de gestión'!$AF$35="Mayor"),CONCATENATE("R4C",'Matriz riesgos de gestión'!$T$35),"")</f>
        <v/>
      </c>
      <c r="AF39" s="143" t="str">
        <f>IF(AND('Matriz riesgos de gestión'!$AD$36="Baja",'Matriz riesgos de gestión'!$AF$36="Mayor"),CONCATENATE("R4C",'Matriz riesgos de gestión'!$T$36),"")</f>
        <v/>
      </c>
      <c r="AG39" s="144" t="str">
        <f>IF(AND('Matriz riesgos de gestión'!$AD$37="Baja",'Matriz riesgos de gestión'!$AF$37="Mayor"),CONCATENATE("R4C",'Matriz riesgos de gestión'!$T$37),"")</f>
        <v/>
      </c>
      <c r="AH39" s="145" t="str">
        <f>IF(AND('Matriz riesgos de gestión'!$AD$32="Baja",'Matriz riesgos de gestión'!$AF$32="Catastrófico"),CONCATENATE("R4C",'Matriz riesgos de gestión'!$T$32),"")</f>
        <v/>
      </c>
      <c r="AI39" s="146" t="str">
        <f>IF(AND('Matriz riesgos de gestión'!$AD$33="Baja",'Matriz riesgos de gestión'!$AF$33="Catastrófico"),CONCATENATE("R4C",'Matriz riesgos de gestión'!$T$33),"")</f>
        <v/>
      </c>
      <c r="AJ39" s="146" t="str">
        <f>IF(AND('Matriz riesgos de gestión'!$AD$34="Baja",'Matriz riesgos de gestión'!$AF$34="Catastrófico"),CONCATENATE("R4C",'Matriz riesgos de gestión'!$T$34),"")</f>
        <v/>
      </c>
      <c r="AK39" s="146" t="str">
        <f>IF(AND('Matriz riesgos de gestión'!$AD$35="Baja",'Matriz riesgos de gestión'!$AF$35="Catastrófico"),CONCATENATE("R4C",'Matriz riesgos de gestión'!$T$35),"")</f>
        <v/>
      </c>
      <c r="AL39" s="146" t="str">
        <f>IF(AND('Matriz riesgos de gestión'!$AD$36="Baja",'Matriz riesgos de gestión'!$AF$36="Catastrófico"),CONCATENATE("R4C",'Matriz riesgos de gestión'!$T$36),"")</f>
        <v/>
      </c>
      <c r="AM39" s="147" t="str">
        <f>IF(AND('Matriz riesgos de gestión'!$AD$37="Baja",'Matriz riesgos de gestión'!$AF$37="Catastrófico"),CONCATENATE("R4C",'Matriz riesgos de gestión'!$T$37),"")</f>
        <v/>
      </c>
      <c r="AN39" s="115"/>
      <c r="AO39" s="684"/>
      <c r="AP39" s="670"/>
      <c r="AQ39" s="670"/>
      <c r="AR39" s="670"/>
      <c r="AS39" s="670"/>
      <c r="AT39" s="685"/>
      <c r="AU39" s="115"/>
      <c r="AV39" s="115"/>
      <c r="AW39" s="115"/>
      <c r="AX39" s="115"/>
      <c r="AY39" s="115"/>
      <c r="AZ39" s="115"/>
      <c r="BA39" s="115"/>
      <c r="BB39" s="115"/>
      <c r="BC39" s="115"/>
      <c r="BD39" s="115"/>
      <c r="BE39" s="115"/>
      <c r="BF39" s="115"/>
      <c r="BG39" s="115"/>
      <c r="BH39" s="115"/>
      <c r="BI39" s="115"/>
    </row>
    <row r="40" spans="1:61" ht="15" customHeight="1" x14ac:dyDescent="0.25">
      <c r="A40" s="115"/>
      <c r="B40" s="654"/>
      <c r="C40" s="670"/>
      <c r="D40" s="653"/>
      <c r="E40" s="659"/>
      <c r="F40" s="670"/>
      <c r="G40" s="670"/>
      <c r="H40" s="670"/>
      <c r="I40" s="670"/>
      <c r="J40" s="160" t="str">
        <f>IF(AND('Matriz riesgos de gestión'!$AD$38="Baja",'Matriz riesgos de gestión'!$AF$38="Leve"),CONCATENATE("R5C",'Matriz riesgos de gestión'!$T$38),"")</f>
        <v/>
      </c>
      <c r="K40" s="161" t="str">
        <f>IF(AND('Matriz riesgos de gestión'!$AD$39="Baja",'Matriz riesgos de gestión'!$AF$39="Leve"),CONCATENATE("R5C",'Matriz riesgos de gestión'!$T$39),"")</f>
        <v/>
      </c>
      <c r="L40" s="161" t="str">
        <f>IF(AND('Matriz riesgos de gestión'!$AD$40="Baja",'Matriz riesgos de gestión'!$AF$40="Leve"),CONCATENATE("R5C",'Matriz riesgos de gestión'!$T$40),"")</f>
        <v/>
      </c>
      <c r="M40" s="161" t="str">
        <f>IF(AND('Matriz riesgos de gestión'!$AD$41="Baja",'Matriz riesgos de gestión'!$AF$41="Leve"),CONCATENATE("R5C",'Matriz riesgos de gestión'!$T$41),"")</f>
        <v/>
      </c>
      <c r="N40" s="161" t="str">
        <f>IF(AND('Matriz riesgos de gestión'!$AD$42="Baja",'Matriz riesgos de gestión'!$AF$42="Leve"),CONCATENATE("R5C",'Matriz riesgos de gestión'!$T$42),"")</f>
        <v/>
      </c>
      <c r="O40" s="162" t="str">
        <f>IF(AND('Matriz riesgos de gestión'!$AD$43="Baja",'Matriz riesgos de gestión'!$AF$43="Leve"),CONCATENATE("R5C",'Matriz riesgos de gestión'!$T$43),"")</f>
        <v/>
      </c>
      <c r="P40" s="154" t="str">
        <f>IF(AND('Matriz riesgos de gestión'!$AD$38="Baja",'Matriz riesgos de gestión'!$AF$38="Menor"),CONCATENATE("R5C",'Matriz riesgos de gestión'!$T$38),"")</f>
        <v/>
      </c>
      <c r="Q40" s="155" t="str">
        <f>IF(AND('Matriz riesgos de gestión'!$AD$39="Baja",'Matriz riesgos de gestión'!$AF$39="Menor"),CONCATENATE("R5C",'Matriz riesgos de gestión'!$T$39),"")</f>
        <v/>
      </c>
      <c r="R40" s="155" t="str">
        <f>IF(AND('Matriz riesgos de gestión'!$AD$40="Baja",'Matriz riesgos de gestión'!$AF$40="Menor"),CONCATENATE("R5C",'Matriz riesgos de gestión'!$T$40),"")</f>
        <v/>
      </c>
      <c r="S40" s="155" t="str">
        <f>IF(AND('Matriz riesgos de gestión'!$AD$41="Baja",'Matriz riesgos de gestión'!$AF$41="Menor"),CONCATENATE("R5C",'Matriz riesgos de gestión'!$T$41),"")</f>
        <v/>
      </c>
      <c r="T40" s="155" t="str">
        <f>IF(AND('Matriz riesgos de gestión'!$AD$42="Baja",'Matriz riesgos de gestión'!$AF$42="Menor"),CONCATENATE("R5C",'Matriz riesgos de gestión'!$T$42),"")</f>
        <v/>
      </c>
      <c r="U40" s="156" t="str">
        <f>IF(AND('Matriz riesgos de gestión'!$AD$43="Baja",'Matriz riesgos de gestión'!$AF$43="Menor"),CONCATENATE("R5C",'Matriz riesgos de gestión'!$T$43),"")</f>
        <v/>
      </c>
      <c r="V40" s="154" t="str">
        <f>IF(AND('Matriz riesgos de gestión'!$AD$38="Baja",'Matriz riesgos de gestión'!$AF$38="Moderado"),CONCATENATE("R5C",'Matriz riesgos de gestión'!$T$38),"")</f>
        <v>R5C1</v>
      </c>
      <c r="W40" s="155" t="str">
        <f>IF(AND('Matriz riesgos de gestión'!$AD$39="Baja",'Matriz riesgos de gestión'!$AF$39="Moderado"),CONCATENATE("R5C",'Matriz riesgos de gestión'!$T$39),"")</f>
        <v>R5C2</v>
      </c>
      <c r="X40" s="155" t="str">
        <f>IF(AND('Matriz riesgos de gestión'!$AD$40="Baja",'Matriz riesgos de gestión'!$AF$40="Moderado"),CONCATENATE("R5C",'Matriz riesgos de gestión'!$T$40),"")</f>
        <v/>
      </c>
      <c r="Y40" s="155" t="str">
        <f>IF(AND('Matriz riesgos de gestión'!$AD$41="Baja",'Matriz riesgos de gestión'!$AF$41="Moderado"),CONCATENATE("R5C",'Matriz riesgos de gestión'!$T$41),"")</f>
        <v/>
      </c>
      <c r="Z40" s="155" t="str">
        <f>IF(AND('Matriz riesgos de gestión'!$AD$42="Baja",'Matriz riesgos de gestión'!$AF$42="Moderado"),CONCATENATE("R5C",'Matriz riesgos de gestión'!$T$42),"")</f>
        <v/>
      </c>
      <c r="AA40" s="156" t="str">
        <f>IF(AND('Matriz riesgos de gestión'!$AD$43="Baja",'Matriz riesgos de gestión'!$AF$43="Moderado"),CONCATENATE("R5C",'Matriz riesgos de gestión'!$T$43),"")</f>
        <v/>
      </c>
      <c r="AB40" s="142" t="str">
        <f>IF(AND('Matriz riesgos de gestión'!$AD$38="Baja",'Matriz riesgos de gestión'!$AF$38="Mayor"),CONCATENATE("R5C",'Matriz riesgos de gestión'!$T$38),"")</f>
        <v/>
      </c>
      <c r="AC40" s="143" t="str">
        <f>IF(AND('Matriz riesgos de gestión'!$AD$39="Baja",'Matriz riesgos de gestión'!$AF$39="Mayor"),CONCATENATE("R5C",'Matriz riesgos de gestión'!$T$39),"")</f>
        <v/>
      </c>
      <c r="AD40" s="143" t="str">
        <f>IF(AND('Matriz riesgos de gestión'!$AD$40="Baja",'Matriz riesgos de gestión'!$AF$40="Mayor"),CONCATENATE("R5C",'Matriz riesgos de gestión'!$T$40),"")</f>
        <v/>
      </c>
      <c r="AE40" s="143" t="str">
        <f>IF(AND('Matriz riesgos de gestión'!$AD$41="Baja",'Matriz riesgos de gestión'!$AF$41="Mayor"),CONCATENATE("R5C",'Matriz riesgos de gestión'!$T$41),"")</f>
        <v/>
      </c>
      <c r="AF40" s="143" t="str">
        <f>IF(AND('Matriz riesgos de gestión'!$AD$42="Baja",'Matriz riesgos de gestión'!$AF$42="Mayor"),CONCATENATE("R5C",'Matriz riesgos de gestión'!$T$42),"")</f>
        <v/>
      </c>
      <c r="AG40" s="144" t="str">
        <f>IF(AND('Matriz riesgos de gestión'!$AD$43="Baja",'Matriz riesgos de gestión'!$AF$43="Mayor"),CONCATENATE("R5C",'Matriz riesgos de gestión'!$T$43),"")</f>
        <v/>
      </c>
      <c r="AH40" s="145" t="str">
        <f>IF(AND('Matriz riesgos de gestión'!$AD$38="Baja",'Matriz riesgos de gestión'!$AF$38="Catastrófico"),CONCATENATE("R5C",'Matriz riesgos de gestión'!$T$38),"")</f>
        <v/>
      </c>
      <c r="AI40" s="146" t="str">
        <f>IF(AND('Matriz riesgos de gestión'!$AD$39="Baja",'Matriz riesgos de gestión'!$AF$39="Catastrófico"),CONCATENATE("R5C",'Matriz riesgos de gestión'!$T$39),"")</f>
        <v/>
      </c>
      <c r="AJ40" s="146" t="str">
        <f>IF(AND('Matriz riesgos de gestión'!$AD$40="Baja",'Matriz riesgos de gestión'!$AF$40="Catastrófico"),CONCATENATE("R5C",'Matriz riesgos de gestión'!$T$40),"")</f>
        <v/>
      </c>
      <c r="AK40" s="146" t="str">
        <f>IF(AND('Matriz riesgos de gestión'!$AD$41="Baja",'Matriz riesgos de gestión'!$AF$41="Catastrófico"),CONCATENATE("R5C",'Matriz riesgos de gestión'!$T$41),"")</f>
        <v/>
      </c>
      <c r="AL40" s="146" t="str">
        <f>IF(AND('Matriz riesgos de gestión'!$AD$42="Baja",'Matriz riesgos de gestión'!$AF$42="Catastrófico"),CONCATENATE("R5C",'Matriz riesgos de gestión'!$T$42),"")</f>
        <v/>
      </c>
      <c r="AM40" s="147" t="str">
        <f>IF(AND('Matriz riesgos de gestión'!$AD$43="Baja",'Matriz riesgos de gestión'!$AF$43="Catastrófico"),CONCATENATE("R5C",'Matriz riesgos de gestión'!$T$43),"")</f>
        <v/>
      </c>
      <c r="AN40" s="115"/>
      <c r="AO40" s="684"/>
      <c r="AP40" s="670"/>
      <c r="AQ40" s="670"/>
      <c r="AR40" s="670"/>
      <c r="AS40" s="670"/>
      <c r="AT40" s="685"/>
      <c r="AU40" s="115"/>
      <c r="AV40" s="115"/>
      <c r="AW40" s="115"/>
      <c r="AX40" s="115"/>
      <c r="AY40" s="115"/>
      <c r="AZ40" s="115"/>
      <c r="BA40" s="115"/>
      <c r="BB40" s="115"/>
      <c r="BC40" s="115"/>
      <c r="BD40" s="115"/>
      <c r="BE40" s="115"/>
      <c r="BF40" s="115"/>
      <c r="BG40" s="115"/>
      <c r="BH40" s="115"/>
      <c r="BI40" s="115"/>
    </row>
    <row r="41" spans="1:61" ht="15" customHeight="1" x14ac:dyDescent="0.25">
      <c r="A41" s="115"/>
      <c r="B41" s="654"/>
      <c r="C41" s="670"/>
      <c r="D41" s="653"/>
      <c r="E41" s="659"/>
      <c r="F41" s="670"/>
      <c r="G41" s="670"/>
      <c r="H41" s="670"/>
      <c r="I41" s="670"/>
      <c r="J41" s="160" t="str">
        <f>IF(AND('Matriz riesgos de gestión'!$AD$44="Baja",'Matriz riesgos de gestión'!$AF$44="Leve"),CONCATENATE("R6C",'Matriz riesgos de gestión'!$T$44),"")</f>
        <v/>
      </c>
      <c r="K41" s="161" t="str">
        <f>IF(AND('Matriz riesgos de gestión'!$AD$45="Baja",'Matriz riesgos de gestión'!$AF$45="Leve"),CONCATENATE("R6C",'Matriz riesgos de gestión'!$T$45),"")</f>
        <v/>
      </c>
      <c r="L41" s="161" t="str">
        <f>IF(AND('Matriz riesgos de gestión'!$AD$46="Baja",'Matriz riesgos de gestión'!$AF$46="Leve"),CONCATENATE("R6C",'Matriz riesgos de gestión'!$T$46),"")</f>
        <v/>
      </c>
      <c r="M41" s="161" t="str">
        <f>IF(AND('Matriz riesgos de gestión'!$AD$47="Baja",'Matriz riesgos de gestión'!$AF$47="Leve"),CONCATENATE("R6C",'Matriz riesgos de gestión'!$T$47),"")</f>
        <v/>
      </c>
      <c r="N41" s="161" t="str">
        <f>IF(AND('Matriz riesgos de gestión'!$AD$48="Baja",'Matriz riesgos de gestión'!$AF$48="Leve"),CONCATENATE("R6C",'Matriz riesgos de gestión'!$T$48),"")</f>
        <v/>
      </c>
      <c r="O41" s="162" t="str">
        <f>IF(AND('Matriz riesgos de gestión'!$AD$49="Baja",'Matriz riesgos de gestión'!$AF$49="Leve"),CONCATENATE("R6C",'Matriz riesgos de gestión'!$T$49),"")</f>
        <v/>
      </c>
      <c r="P41" s="154" t="str">
        <f>IF(AND('Matriz riesgos de gestión'!$AD$44="Baja",'Matriz riesgos de gestión'!$AF$44="Menor"),CONCATENATE("R6C",'Matriz riesgos de gestión'!$T$44),"")</f>
        <v/>
      </c>
      <c r="Q41" s="155" t="str">
        <f>IF(AND('Matriz riesgos de gestión'!$AD$45="Baja",'Matriz riesgos de gestión'!$AF$45="Menor"),CONCATENATE("R6C",'Matriz riesgos de gestión'!$T$45),"")</f>
        <v/>
      </c>
      <c r="R41" s="155" t="str">
        <f>IF(AND('Matriz riesgos de gestión'!$AD$46="Baja",'Matriz riesgos de gestión'!$AF$46="Menor"),CONCATENATE("R6C",'Matriz riesgos de gestión'!$T$46),"")</f>
        <v/>
      </c>
      <c r="S41" s="155" t="str">
        <f>IF(AND('Matriz riesgos de gestión'!$AD$47="Baja",'Matriz riesgos de gestión'!$AF$47="Menor"),CONCATENATE("R6C",'Matriz riesgos de gestión'!$T$47),"")</f>
        <v/>
      </c>
      <c r="T41" s="155" t="str">
        <f>IF(AND('Matriz riesgos de gestión'!$AD$48="Baja",'Matriz riesgos de gestión'!$AF$48="Menor"),CONCATENATE("R6C",'Matriz riesgos de gestión'!$T$48),"")</f>
        <v/>
      </c>
      <c r="U41" s="156" t="str">
        <f>IF(AND('Matriz riesgos de gestión'!$AD$49="Baja",'Matriz riesgos de gestión'!$AF$49="Menor"),CONCATENATE("R6C",'Matriz riesgos de gestión'!$T$49),"")</f>
        <v/>
      </c>
      <c r="V41" s="154" t="str">
        <f>IF(AND('Matriz riesgos de gestión'!$AD$44="Baja",'Matriz riesgos de gestión'!$AF$44="Moderado"),CONCATENATE("R6C",'Matriz riesgos de gestión'!$T$44),"")</f>
        <v/>
      </c>
      <c r="W41" s="155" t="str">
        <f>IF(AND('Matriz riesgos de gestión'!$AD$45="Baja",'Matriz riesgos de gestión'!$AF$45="Moderado"),CONCATENATE("R6C",'Matriz riesgos de gestión'!$T$45),"")</f>
        <v>R6C1</v>
      </c>
      <c r="X41" s="155" t="str">
        <f>IF(AND('Matriz riesgos de gestión'!$AD$46="Baja",'Matriz riesgos de gestión'!$AF$46="Moderado"),CONCATENATE("R6C",'Matriz riesgos de gestión'!$T$46),"")</f>
        <v>R6C2</v>
      </c>
      <c r="Y41" s="155" t="str">
        <f>IF(AND('Matriz riesgos de gestión'!$AD$47="Baja",'Matriz riesgos de gestión'!$AF$47="Moderado"),CONCATENATE("R6C",'Matriz riesgos de gestión'!$T$47),"")</f>
        <v/>
      </c>
      <c r="Z41" s="155" t="str">
        <f>IF(AND('Matriz riesgos de gestión'!$AD$48="Baja",'Matriz riesgos de gestión'!$AF$48="Moderado"),CONCATENATE("R6C",'Matriz riesgos de gestión'!$T$48),"")</f>
        <v/>
      </c>
      <c r="AA41" s="156" t="str">
        <f>IF(AND('Matriz riesgos de gestión'!$AD$49="Baja",'Matriz riesgos de gestión'!$AF$49="Moderado"),CONCATENATE("R6C",'Matriz riesgos de gestión'!$T$49),"")</f>
        <v/>
      </c>
      <c r="AB41" s="142" t="str">
        <f>IF(AND('Matriz riesgos de gestión'!$AD$44="Baja",'Matriz riesgos de gestión'!$AF$44="Mayor"),CONCATENATE("R6C",'Matriz riesgos de gestión'!$T$44),"")</f>
        <v/>
      </c>
      <c r="AC41" s="143" t="str">
        <f>IF(AND('Matriz riesgos de gestión'!$AD$45="Baja",'Matriz riesgos de gestión'!$AF$45="Mayor"),CONCATENATE("R6C",'Matriz riesgos de gestión'!$T$45),"")</f>
        <v/>
      </c>
      <c r="AD41" s="143" t="str">
        <f>IF(AND('Matriz riesgos de gestión'!$AD$46="Baja",'Matriz riesgos de gestión'!$AF$46="Mayor"),CONCATENATE("R6C",'Matriz riesgos de gestión'!$T$46),"")</f>
        <v/>
      </c>
      <c r="AE41" s="143" t="str">
        <f>IF(AND('Matriz riesgos de gestión'!$AD$47="Baja",'Matriz riesgos de gestión'!$AF$47="Mayor"),CONCATENATE("R6C",'Matriz riesgos de gestión'!$T$47),"")</f>
        <v/>
      </c>
      <c r="AF41" s="143" t="str">
        <f>IF(AND('Matriz riesgos de gestión'!$AD$48="Baja",'Matriz riesgos de gestión'!$AF$48="Mayor"),CONCATENATE("R6C",'Matriz riesgos de gestión'!$T$48),"")</f>
        <v/>
      </c>
      <c r="AG41" s="144" t="str">
        <f>IF(AND('Matriz riesgos de gestión'!$AD$49="Baja",'Matriz riesgos de gestión'!$AF$49="Mayor"),CONCATENATE("R6C",'Matriz riesgos de gestión'!$T$49),"")</f>
        <v/>
      </c>
      <c r="AH41" s="145" t="str">
        <f>IF(AND('Matriz riesgos de gestión'!$AD$44="Baja",'Matriz riesgos de gestión'!$AF$44="Catastrófico"),CONCATENATE("R6C",'Matriz riesgos de gestión'!$T$44),"")</f>
        <v/>
      </c>
      <c r="AI41" s="146" t="str">
        <f>IF(AND('Matriz riesgos de gestión'!$AD$45="Baja",'Matriz riesgos de gestión'!$AF$45="Catastrófico"),CONCATENATE("R6C",'Matriz riesgos de gestión'!$T$45),"")</f>
        <v/>
      </c>
      <c r="AJ41" s="146" t="str">
        <f>IF(AND('Matriz riesgos de gestión'!$AD$46="Baja",'Matriz riesgos de gestión'!$AF$46="Catastrófico"),CONCATENATE("R6C",'Matriz riesgos de gestión'!$T$46),"")</f>
        <v/>
      </c>
      <c r="AK41" s="146" t="str">
        <f>IF(AND('Matriz riesgos de gestión'!$AD$47="Baja",'Matriz riesgos de gestión'!$AF$47="Catastrófico"),CONCATENATE("R6C",'Matriz riesgos de gestión'!$T$47),"")</f>
        <v/>
      </c>
      <c r="AL41" s="146" t="str">
        <f>IF(AND('Matriz riesgos de gestión'!$AD$48="Baja",'Matriz riesgos de gestión'!$AF$48="Catastrófico"),CONCATENATE("R6C",'Matriz riesgos de gestión'!$T$48),"")</f>
        <v/>
      </c>
      <c r="AM41" s="147" t="str">
        <f>IF(AND('Matriz riesgos de gestión'!$AD$49="Baja",'Matriz riesgos de gestión'!$AF$49="Catastrófico"),CONCATENATE("R6C",'Matriz riesgos de gestión'!$T$49),"")</f>
        <v/>
      </c>
      <c r="AN41" s="115"/>
      <c r="AO41" s="684"/>
      <c r="AP41" s="670"/>
      <c r="AQ41" s="670"/>
      <c r="AR41" s="670"/>
      <c r="AS41" s="670"/>
      <c r="AT41" s="685"/>
      <c r="AU41" s="115"/>
      <c r="AV41" s="115"/>
      <c r="AW41" s="115"/>
      <c r="AX41" s="115"/>
      <c r="AY41" s="115"/>
      <c r="AZ41" s="115"/>
      <c r="BA41" s="115"/>
      <c r="BB41" s="115"/>
      <c r="BC41" s="115"/>
      <c r="BD41" s="115"/>
      <c r="BE41" s="115"/>
      <c r="BF41" s="115"/>
      <c r="BG41" s="115"/>
      <c r="BH41" s="115"/>
      <c r="BI41" s="115"/>
    </row>
    <row r="42" spans="1:61" ht="15" customHeight="1" x14ac:dyDescent="0.25">
      <c r="A42" s="115"/>
      <c r="B42" s="654"/>
      <c r="C42" s="670"/>
      <c r="D42" s="653"/>
      <c r="E42" s="659"/>
      <c r="F42" s="670"/>
      <c r="G42" s="670"/>
      <c r="H42" s="670"/>
      <c r="I42" s="670"/>
      <c r="J42" s="160" t="str">
        <f>IF(AND('Matriz riesgos de gestión'!$AD$50="Baja",'Matriz riesgos de gestión'!$AF$50="Leve"),CONCATENATE("R7C",'Matriz riesgos de gestión'!$T$50),"")</f>
        <v/>
      </c>
      <c r="K42" s="161" t="str">
        <f>IF(AND('Matriz riesgos de gestión'!$AD$51="Baja",'Matriz riesgos de gestión'!$AF$51="Leve"),CONCATENATE("R7C",'Matriz riesgos de gestión'!$T$51),"")</f>
        <v/>
      </c>
      <c r="L42" s="161" t="str">
        <f>IF(AND('Matriz riesgos de gestión'!$AD$52="Baja",'Matriz riesgos de gestión'!$AF$52="Leve"),CONCATENATE("R7C",'Matriz riesgos de gestión'!$T$52),"")</f>
        <v/>
      </c>
      <c r="M42" s="161" t="str">
        <f>IF(AND('Matriz riesgos de gestión'!$AD$53="Baja",'Matriz riesgos de gestión'!$AF$53="Leve"),CONCATENATE("R7C",'Matriz riesgos de gestión'!$T$53),"")</f>
        <v/>
      </c>
      <c r="N42" s="161" t="str">
        <f>IF(AND('Matriz riesgos de gestión'!$AD$54="Baja",'Matriz riesgos de gestión'!$AF$54="Leve"),CONCATENATE("R7C",'Matriz riesgos de gestión'!$T$54),"")</f>
        <v/>
      </c>
      <c r="O42" s="162" t="str">
        <f>IF(AND('Matriz riesgos de gestión'!$AD$55="Baja",'Matriz riesgos de gestión'!$AF$55="Leve"),CONCATENATE("R7C",'Matriz riesgos de gestión'!$T$55),"")</f>
        <v/>
      </c>
      <c r="P42" s="154" t="str">
        <f>IF(AND('Matriz riesgos de gestión'!$AD$50="Baja",'Matriz riesgos de gestión'!$AF$50="Menor"),CONCATENATE("R7C",'Matriz riesgos de gestión'!$T$50),"")</f>
        <v/>
      </c>
      <c r="Q42" s="155" t="str">
        <f>IF(AND('Matriz riesgos de gestión'!$AD$51="Baja",'Matriz riesgos de gestión'!$AF$51="Menor"),CONCATENATE("R7C",'Matriz riesgos de gestión'!$T$51),"")</f>
        <v/>
      </c>
      <c r="R42" s="155" t="str">
        <f>IF(AND('Matriz riesgos de gestión'!$AD$52="Baja",'Matriz riesgos de gestión'!$AF$52="Menor"),CONCATENATE("R7C",'Matriz riesgos de gestión'!$T$52),"")</f>
        <v/>
      </c>
      <c r="S42" s="155" t="str">
        <f>IF(AND('Matriz riesgos de gestión'!$AD$53="Baja",'Matriz riesgos de gestión'!$AF$53="Menor"),CONCATENATE("R7C",'Matriz riesgos de gestión'!$T$53),"")</f>
        <v/>
      </c>
      <c r="T42" s="155" t="str">
        <f>IF(AND('Matriz riesgos de gestión'!$AD$54="Baja",'Matriz riesgos de gestión'!$AF$54="Menor"),CONCATENATE("R7C",'Matriz riesgos de gestión'!$T$54),"")</f>
        <v/>
      </c>
      <c r="U42" s="156" t="str">
        <f>IF(AND('Matriz riesgos de gestión'!$AD$55="Baja",'Matriz riesgos de gestión'!$AF$55="Menor"),CONCATENATE("R7C",'Matriz riesgos de gestión'!$T$55),"")</f>
        <v/>
      </c>
      <c r="V42" s="154" t="str">
        <f>IF(AND('Matriz riesgos de gestión'!$AD$50="Baja",'Matriz riesgos de gestión'!$AF$50="Moderado"),CONCATENATE("R7C",'Matriz riesgos de gestión'!$T$50),"")</f>
        <v/>
      </c>
      <c r="W42" s="155" t="str">
        <f>IF(AND('Matriz riesgos de gestión'!$AD$51="Baja",'Matriz riesgos de gestión'!$AF$51="Moderado"),CONCATENATE("R7C",'Matriz riesgos de gestión'!$T$51),"")</f>
        <v>R7C1</v>
      </c>
      <c r="X42" s="155" t="str">
        <f>IF(AND('Matriz riesgos de gestión'!$AD$52="Baja",'Matriz riesgos de gestión'!$AF$52="Moderado"),CONCATENATE("R7C",'Matriz riesgos de gestión'!$T$52),"")</f>
        <v/>
      </c>
      <c r="Y42" s="155" t="str">
        <f>IF(AND('Matriz riesgos de gestión'!$AD$53="Baja",'Matriz riesgos de gestión'!$AF$53="Moderado"),CONCATENATE("R7C",'Matriz riesgos de gestión'!$T$53),"")</f>
        <v/>
      </c>
      <c r="Z42" s="155" t="str">
        <f>IF(AND('Matriz riesgos de gestión'!$AD$54="Baja",'Matriz riesgos de gestión'!$AF$54="Moderado"),CONCATENATE("R7C",'Matriz riesgos de gestión'!$T$54),"")</f>
        <v/>
      </c>
      <c r="AA42" s="156" t="str">
        <f>IF(AND('Matriz riesgos de gestión'!$AD$55="Baja",'Matriz riesgos de gestión'!$AF$55="Moderado"),CONCATENATE("R7C",'Matriz riesgos de gestión'!$T$55),"")</f>
        <v/>
      </c>
      <c r="AB42" s="142" t="str">
        <f>IF(AND('Matriz riesgos de gestión'!$AD$50="Baja",'Matriz riesgos de gestión'!$AF$50="Mayor"),CONCATENATE("R7C",'Matriz riesgos de gestión'!$T$50),"")</f>
        <v/>
      </c>
      <c r="AC42" s="143" t="str">
        <f>IF(AND('Matriz riesgos de gestión'!$AD$51="Baja",'Matriz riesgos de gestión'!$AF$51="Mayor"),CONCATENATE("R7C",'Matriz riesgos de gestión'!$T$51),"")</f>
        <v/>
      </c>
      <c r="AD42" s="143" t="str">
        <f>IF(AND('Matriz riesgos de gestión'!$AD$52="Baja",'Matriz riesgos de gestión'!$AF$52="Mayor"),CONCATENATE("R7C",'Matriz riesgos de gestión'!$T$52),"")</f>
        <v/>
      </c>
      <c r="AE42" s="143" t="str">
        <f>IF(AND('Matriz riesgos de gestión'!$AD$53="Baja",'Matriz riesgos de gestión'!$AF$53="Mayor"),CONCATENATE("R7C",'Matriz riesgos de gestión'!$T$53),"")</f>
        <v/>
      </c>
      <c r="AF42" s="143" t="str">
        <f>IF(AND('Matriz riesgos de gestión'!$AD$54="Baja",'Matriz riesgos de gestión'!$AF$54="Mayor"),CONCATENATE("R7C",'Matriz riesgos de gestión'!$T$54),"")</f>
        <v/>
      </c>
      <c r="AG42" s="144" t="str">
        <f>IF(AND('Matriz riesgos de gestión'!$AD$55="Baja",'Matriz riesgos de gestión'!$AF$55="Mayor"),CONCATENATE("R7C",'Matriz riesgos de gestión'!$T$55),"")</f>
        <v/>
      </c>
      <c r="AH42" s="145" t="str">
        <f>IF(AND('Matriz riesgos de gestión'!$AD$50="Baja",'Matriz riesgos de gestión'!$AF$50="Catastrófico"),CONCATENATE("R7C",'Matriz riesgos de gestión'!$T$50),"")</f>
        <v/>
      </c>
      <c r="AI42" s="146" t="str">
        <f>IF(AND('Matriz riesgos de gestión'!$AD$51="Baja",'Matriz riesgos de gestión'!$AF$51="Catastrófico"),CONCATENATE("R7C",'Matriz riesgos de gestión'!$T$51),"")</f>
        <v/>
      </c>
      <c r="AJ42" s="146" t="str">
        <f>IF(AND('Matriz riesgos de gestión'!$AD$52="Baja",'Matriz riesgos de gestión'!$AF$52="Catastrófico"),CONCATENATE("R7C",'Matriz riesgos de gestión'!$T$52),"")</f>
        <v/>
      </c>
      <c r="AK42" s="146" t="str">
        <f>IF(AND('Matriz riesgos de gestión'!$AD$53="Baja",'Matriz riesgos de gestión'!$AF$53="Catastrófico"),CONCATENATE("R7C",'Matriz riesgos de gestión'!$T$53),"")</f>
        <v/>
      </c>
      <c r="AL42" s="146" t="str">
        <f>IF(AND('Matriz riesgos de gestión'!$AD$54="Baja",'Matriz riesgos de gestión'!$AF$54="Catastrófico"),CONCATENATE("R7C",'Matriz riesgos de gestión'!$T$54),"")</f>
        <v/>
      </c>
      <c r="AM42" s="147" t="str">
        <f>IF(AND('Matriz riesgos de gestión'!$AD$55="Baja",'Matriz riesgos de gestión'!$AF$55="Catastrófico"),CONCATENATE("R7C",'Matriz riesgos de gestión'!$T$55),"")</f>
        <v/>
      </c>
      <c r="AN42" s="115"/>
      <c r="AO42" s="684"/>
      <c r="AP42" s="670"/>
      <c r="AQ42" s="670"/>
      <c r="AR42" s="670"/>
      <c r="AS42" s="670"/>
      <c r="AT42" s="685"/>
      <c r="AU42" s="115"/>
      <c r="AV42" s="115"/>
      <c r="AW42" s="115"/>
      <c r="AX42" s="115"/>
      <c r="AY42" s="115"/>
      <c r="AZ42" s="115"/>
      <c r="BA42" s="115"/>
      <c r="BB42" s="115"/>
      <c r="BC42" s="115"/>
      <c r="BD42" s="115"/>
      <c r="BE42" s="115"/>
      <c r="BF42" s="115"/>
      <c r="BG42" s="115"/>
      <c r="BH42" s="115"/>
      <c r="BI42" s="115"/>
    </row>
    <row r="43" spans="1:61" ht="15" customHeight="1" x14ac:dyDescent="0.25">
      <c r="A43" s="115"/>
      <c r="B43" s="654"/>
      <c r="C43" s="670"/>
      <c r="D43" s="653"/>
      <c r="E43" s="659"/>
      <c r="F43" s="670"/>
      <c r="G43" s="670"/>
      <c r="H43" s="670"/>
      <c r="I43" s="670"/>
      <c r="J43" s="160" t="str">
        <f>IF(AND('Matriz riesgos de gestión'!$AD$56="Baja",'Matriz riesgos de gestión'!$AF$56="Leve"),CONCATENATE("R8C",'Matriz riesgos de gestión'!$T$56),"")</f>
        <v/>
      </c>
      <c r="K43" s="161" t="str">
        <f>IF(AND('Matriz riesgos de gestión'!$AD$57="Baja",'Matriz riesgos de gestión'!$AF$57="Leve"),CONCATENATE("R8C",'Matriz riesgos de gestión'!$T$57),"")</f>
        <v/>
      </c>
      <c r="L43" s="161" t="str">
        <f>IF(AND('Matriz riesgos de gestión'!$AD$58="Baja",'Matriz riesgos de gestión'!$AF$58="Leve"),CONCATENATE("R8C",'Matriz riesgos de gestión'!$T$58),"")</f>
        <v/>
      </c>
      <c r="M43" s="161" t="str">
        <f>IF(AND('Matriz riesgos de gestión'!$AD$59="Baja",'Matriz riesgos de gestión'!$AF$59="Leve"),CONCATENATE("R8C",'Matriz riesgos de gestión'!$T$59),"")</f>
        <v/>
      </c>
      <c r="N43" s="161" t="str">
        <f>IF(AND('Matriz riesgos de gestión'!$AD$60="Baja",'Matriz riesgos de gestión'!$AF$60="Leve"),CONCATENATE("R8C",'Matriz riesgos de gestión'!$T$60),"")</f>
        <v/>
      </c>
      <c r="O43" s="162" t="str">
        <f>IF(AND('Matriz riesgos de gestión'!$AD$61="Baja",'Matriz riesgos de gestión'!$AF$61="Leve"),CONCATENATE("R8C",'Matriz riesgos de gestión'!$T$61),"")</f>
        <v/>
      </c>
      <c r="P43" s="154" t="str">
        <f>IF(AND('Matriz riesgos de gestión'!$AD$56="Baja",'Matriz riesgos de gestión'!$AF$56="Menor"),CONCATENATE("R8C",'Matriz riesgos de gestión'!$T$56),"")</f>
        <v/>
      </c>
      <c r="Q43" s="155" t="str">
        <f>IF(AND('Matriz riesgos de gestión'!$AD$57="Baja",'Matriz riesgos de gestión'!$AF$57="Menor"),CONCATENATE("R8C",'Matriz riesgos de gestión'!$T$57),"")</f>
        <v/>
      </c>
      <c r="R43" s="155" t="str">
        <f>IF(AND('Matriz riesgos de gestión'!$AD$58="Baja",'Matriz riesgos de gestión'!$AF$58="Menor"),CONCATENATE("R8C",'Matriz riesgos de gestión'!$T$58),"")</f>
        <v/>
      </c>
      <c r="S43" s="155" t="str">
        <f>IF(AND('Matriz riesgos de gestión'!$AD$59="Baja",'Matriz riesgos de gestión'!$AF$59="Menor"),CONCATENATE("R8C",'Matriz riesgos de gestión'!$T$59),"")</f>
        <v/>
      </c>
      <c r="T43" s="155" t="str">
        <f>IF(AND('Matriz riesgos de gestión'!$AD$60="Baja",'Matriz riesgos de gestión'!$AF$60="Menor"),CONCATENATE("R8C",'Matriz riesgos de gestión'!$T$60),"")</f>
        <v/>
      </c>
      <c r="U43" s="156" t="str">
        <f>IF(AND('Matriz riesgos de gestión'!$AD$61="Baja",'Matriz riesgos de gestión'!$AF$61="Menor"),CONCATENATE("R8C",'Matriz riesgos de gestión'!$T$61),"")</f>
        <v/>
      </c>
      <c r="V43" s="154" t="str">
        <f>IF(AND('Matriz riesgos de gestión'!$AD$56="Baja",'Matriz riesgos de gestión'!$AF$56="Moderado"),CONCATENATE("R8C",'Matriz riesgos de gestión'!$T$56),"")</f>
        <v/>
      </c>
      <c r="W43" s="155" t="str">
        <f>IF(AND('Matriz riesgos de gestión'!$AD$57="Baja",'Matriz riesgos de gestión'!$AF$57="Moderado"),CONCATENATE("R8C",'Matriz riesgos de gestión'!$T$57),"")</f>
        <v>R8C1</v>
      </c>
      <c r="X43" s="155" t="str">
        <f>IF(AND('Matriz riesgos de gestión'!$AD$58="Baja",'Matriz riesgos de gestión'!$AF$58="Moderado"),CONCATENATE("R8C",'Matriz riesgos de gestión'!$T$58),"")</f>
        <v>R8C2</v>
      </c>
      <c r="Y43" s="155" t="str">
        <f>IF(AND('Matriz riesgos de gestión'!$AD$59="Baja",'Matriz riesgos de gestión'!$AF$59="Moderado"),CONCATENATE("R8C",'Matriz riesgos de gestión'!$T$59),"")</f>
        <v/>
      </c>
      <c r="Z43" s="155" t="str">
        <f>IF(AND('Matriz riesgos de gestión'!$AD$60="Baja",'Matriz riesgos de gestión'!$AF$60="Moderado"),CONCATENATE("R8C",'Matriz riesgos de gestión'!$T$60),"")</f>
        <v/>
      </c>
      <c r="AA43" s="156" t="str">
        <f>IF(AND('Matriz riesgos de gestión'!$AD$61="Baja",'Matriz riesgos de gestión'!$AF$61="Moderado"),CONCATENATE("R8C",'Matriz riesgos de gestión'!$T$61),"")</f>
        <v/>
      </c>
      <c r="AB43" s="142" t="str">
        <f>IF(AND('Matriz riesgos de gestión'!$AD$56="Baja",'Matriz riesgos de gestión'!$AF$56="Mayor"),CONCATENATE("R8C",'Matriz riesgos de gestión'!$T$56),"")</f>
        <v/>
      </c>
      <c r="AC43" s="143" t="str">
        <f>IF(AND('Matriz riesgos de gestión'!$AD$57="Baja",'Matriz riesgos de gestión'!$AF$57="Mayor"),CONCATENATE("R8C",'Matriz riesgos de gestión'!$T$57),"")</f>
        <v/>
      </c>
      <c r="AD43" s="143" t="str">
        <f>IF(AND('Matriz riesgos de gestión'!$AD$58="Baja",'Matriz riesgos de gestión'!$AF$58="Mayor"),CONCATENATE("R8C",'Matriz riesgos de gestión'!$T$58),"")</f>
        <v/>
      </c>
      <c r="AE43" s="143" t="str">
        <f>IF(AND('Matriz riesgos de gestión'!$AD$59="Baja",'Matriz riesgos de gestión'!$AF$59="Mayor"),CONCATENATE("R8C",'Matriz riesgos de gestión'!$T$59),"")</f>
        <v/>
      </c>
      <c r="AF43" s="143" t="str">
        <f>IF(AND('Matriz riesgos de gestión'!$AD$60="Baja",'Matriz riesgos de gestión'!$AF$60="Mayor"),CONCATENATE("R8C",'Matriz riesgos de gestión'!$T$60),"")</f>
        <v/>
      </c>
      <c r="AG43" s="144" t="str">
        <f>IF(AND('Matriz riesgos de gestión'!$AD$61="Baja",'Matriz riesgos de gestión'!$AF$61="Mayor"),CONCATENATE("R8C",'Matriz riesgos de gestión'!$T$61),"")</f>
        <v/>
      </c>
      <c r="AH43" s="145" t="str">
        <f>IF(AND('Matriz riesgos de gestión'!$AD$56="Baja",'Matriz riesgos de gestión'!$AF$56="Catastrófico"),CONCATENATE("R8C",'Matriz riesgos de gestión'!$T$56),"")</f>
        <v/>
      </c>
      <c r="AI43" s="146" t="str">
        <f>IF(AND('Matriz riesgos de gestión'!$AD$57="Baja",'Matriz riesgos de gestión'!$AF$57="Catastrófico"),CONCATENATE("R8C",'Matriz riesgos de gestión'!$T$57),"")</f>
        <v/>
      </c>
      <c r="AJ43" s="146" t="str">
        <f>IF(AND('Matriz riesgos de gestión'!$AD$58="Baja",'Matriz riesgos de gestión'!$AF$58="Catastrófico"),CONCATENATE("R8C",'Matriz riesgos de gestión'!$T$58),"")</f>
        <v/>
      </c>
      <c r="AK43" s="146" t="str">
        <f>IF(AND('Matriz riesgos de gestión'!$AD$59="Baja",'Matriz riesgos de gestión'!$AF$59="Catastrófico"),CONCATENATE("R8C",'Matriz riesgos de gestión'!$T$59),"")</f>
        <v/>
      </c>
      <c r="AL43" s="146" t="str">
        <f>IF(AND('Matriz riesgos de gestión'!$AD$60="Baja",'Matriz riesgos de gestión'!$AF$60="Catastrófico"),CONCATENATE("R8C",'Matriz riesgos de gestión'!$T$60),"")</f>
        <v/>
      </c>
      <c r="AM43" s="147" t="str">
        <f>IF(AND('Matriz riesgos de gestión'!$AD$61="Baja",'Matriz riesgos de gestión'!$AF$61="Catastrófico"),CONCATENATE("R8C",'Matriz riesgos de gestión'!$T$61),"")</f>
        <v/>
      </c>
      <c r="AN43" s="115"/>
      <c r="AO43" s="684"/>
      <c r="AP43" s="670"/>
      <c r="AQ43" s="670"/>
      <c r="AR43" s="670"/>
      <c r="AS43" s="670"/>
      <c r="AT43" s="685"/>
      <c r="AU43" s="115"/>
      <c r="AV43" s="115"/>
      <c r="AW43" s="115"/>
      <c r="AX43" s="115"/>
      <c r="AY43" s="115"/>
      <c r="AZ43" s="115"/>
      <c r="BA43" s="115"/>
      <c r="BB43" s="115"/>
      <c r="BC43" s="115"/>
      <c r="BD43" s="115"/>
      <c r="BE43" s="115"/>
      <c r="BF43" s="115"/>
      <c r="BG43" s="115"/>
      <c r="BH43" s="115"/>
      <c r="BI43" s="115"/>
    </row>
    <row r="44" spans="1:61" ht="15" customHeight="1" x14ac:dyDescent="0.25">
      <c r="A44" s="115"/>
      <c r="B44" s="654"/>
      <c r="C44" s="670"/>
      <c r="D44" s="653"/>
      <c r="E44" s="659"/>
      <c r="F44" s="670"/>
      <c r="G44" s="670"/>
      <c r="H44" s="670"/>
      <c r="I44" s="670"/>
      <c r="J44" s="160" t="str">
        <f>IF(AND('Matriz riesgos de gestión'!$AD$62="Baja",'Matriz riesgos de gestión'!$AF$62="Leve"),CONCATENATE("R9C",'Matriz riesgos de gestión'!$T$62),"")</f>
        <v/>
      </c>
      <c r="K44" s="161" t="str">
        <f>IF(AND('Matriz riesgos de gestión'!$AD$63="Baja",'Matriz riesgos de gestión'!$AF$63="Leve"),CONCATENATE("R9C",'Matriz riesgos de gestión'!$T$63),"")</f>
        <v/>
      </c>
      <c r="L44" s="161" t="str">
        <f>IF(AND('Matriz riesgos de gestión'!$AD$64="Baja",'Matriz riesgos de gestión'!$AF$64="Leve"),CONCATENATE("R9C",'Matriz riesgos de gestión'!$T$64),"")</f>
        <v/>
      </c>
      <c r="M44" s="161" t="str">
        <f>IF(AND('Matriz riesgos de gestión'!$AD$65="Baja",'Matriz riesgos de gestión'!$AF$65="Leve"),CONCATENATE("R9C",'Matriz riesgos de gestión'!$T$65),"")</f>
        <v/>
      </c>
      <c r="N44" s="161" t="str">
        <f>IF(AND('Matriz riesgos de gestión'!$AD$66="Baja",'Matriz riesgos de gestión'!$AF$66="Leve"),CONCATENATE("R9C",'Matriz riesgos de gestión'!$T$66),"")</f>
        <v/>
      </c>
      <c r="O44" s="162" t="str">
        <f>IF(AND('Matriz riesgos de gestión'!$AD$67="Baja",'Matriz riesgos de gestión'!$AF$67="Leve"),CONCATENATE("R9C",'Matriz riesgos de gestión'!$T$67),"")</f>
        <v/>
      </c>
      <c r="P44" s="154" t="str">
        <f>IF(AND('Matriz riesgos de gestión'!$AD$62="Baja",'Matriz riesgos de gestión'!$AF$62="Menor"),CONCATENATE("R9C",'Matriz riesgos de gestión'!$T$62),"")</f>
        <v/>
      </c>
      <c r="Q44" s="155" t="str">
        <f>IF(AND('Matriz riesgos de gestión'!$AD$63="Baja",'Matriz riesgos de gestión'!$AF$63="Menor"),CONCATENATE("R9C",'Matriz riesgos de gestión'!$T$63),"")</f>
        <v/>
      </c>
      <c r="R44" s="155" t="str">
        <f>IF(AND('Matriz riesgos de gestión'!$AD$64="Baja",'Matriz riesgos de gestión'!$AF$64="Menor"),CONCATENATE("R9C",'Matriz riesgos de gestión'!$T$64),"")</f>
        <v/>
      </c>
      <c r="S44" s="155" t="str">
        <f>IF(AND('Matriz riesgos de gestión'!$AD$65="Baja",'Matriz riesgos de gestión'!$AF$65="Menor"),CONCATENATE("R9C",'Matriz riesgos de gestión'!$T$65),"")</f>
        <v/>
      </c>
      <c r="T44" s="155" t="str">
        <f>IF(AND('Matriz riesgos de gestión'!$AD$66="Baja",'Matriz riesgos de gestión'!$AF$66="Menor"),CONCATENATE("R9C",'Matriz riesgos de gestión'!$T$66),"")</f>
        <v/>
      </c>
      <c r="U44" s="156" t="str">
        <f>IF(AND('Matriz riesgos de gestión'!$AD$67="Baja",'Matriz riesgos de gestión'!$AF$67="Menor"),CONCATENATE("R9C",'Matriz riesgos de gestión'!$T$67),"")</f>
        <v/>
      </c>
      <c r="V44" s="154" t="str">
        <f>IF(AND('Matriz riesgos de gestión'!$AD$62="Baja",'Matriz riesgos de gestión'!$AF$62="Moderado"),CONCATENATE("R9C",'Matriz riesgos de gestión'!$T$62),"")</f>
        <v>R9C1</v>
      </c>
      <c r="W44" s="155" t="str">
        <f>IF(AND('Matriz riesgos de gestión'!$AD$63="Baja",'Matriz riesgos de gestión'!$AF$63="Moderado"),CONCATENATE("R9C",'Matriz riesgos de gestión'!$T$63),"")</f>
        <v>R9C2</v>
      </c>
      <c r="X44" s="155" t="str">
        <f>IF(AND('Matriz riesgos de gestión'!$AD$64="Baja",'Matriz riesgos de gestión'!$AF$64="Moderado"),CONCATENATE("R9C",'Matriz riesgos de gestión'!$T$64),"")</f>
        <v/>
      </c>
      <c r="Y44" s="155" t="str">
        <f>IF(AND('Matriz riesgos de gestión'!$AD$65="Baja",'Matriz riesgos de gestión'!$AF$65="Moderado"),CONCATENATE("R9C",'Matriz riesgos de gestión'!$T$65),"")</f>
        <v/>
      </c>
      <c r="Z44" s="155" t="str">
        <f>IF(AND('Matriz riesgos de gestión'!$AD$66="Baja",'Matriz riesgos de gestión'!$AF$66="Moderado"),CONCATENATE("R9C",'Matriz riesgos de gestión'!$T$66),"")</f>
        <v/>
      </c>
      <c r="AA44" s="156" t="str">
        <f>IF(AND('Matriz riesgos de gestión'!$AD$67="Baja",'Matriz riesgos de gestión'!$AF$67="Moderado"),CONCATENATE("R9C",'Matriz riesgos de gestión'!$T$67),"")</f>
        <v/>
      </c>
      <c r="AB44" s="142" t="str">
        <f>IF(AND('Matriz riesgos de gestión'!$AD$62="Baja",'Matriz riesgos de gestión'!$AF$62="Mayor"),CONCATENATE("R9C",'Matriz riesgos de gestión'!$T$62),"")</f>
        <v/>
      </c>
      <c r="AC44" s="143" t="str">
        <f>IF(AND('Matriz riesgos de gestión'!$AD$63="Baja",'Matriz riesgos de gestión'!$AF$63="Mayor"),CONCATENATE("R9C",'Matriz riesgos de gestión'!$T$63),"")</f>
        <v/>
      </c>
      <c r="AD44" s="143" t="str">
        <f>IF(AND('Matriz riesgos de gestión'!$AD$64="Baja",'Matriz riesgos de gestión'!$AF$64="Mayor"),CONCATENATE("R9C",'Matriz riesgos de gestión'!$T$64),"")</f>
        <v/>
      </c>
      <c r="AE44" s="143" t="str">
        <f>IF(AND('Matriz riesgos de gestión'!$AD$65="Baja",'Matriz riesgos de gestión'!$AF$65="Mayor"),CONCATENATE("R9C",'Matriz riesgos de gestión'!$T$65),"")</f>
        <v/>
      </c>
      <c r="AF44" s="143" t="str">
        <f>IF(AND('Matriz riesgos de gestión'!$AD$66="Baja",'Matriz riesgos de gestión'!$AF$66="Mayor"),CONCATENATE("R9C",'Matriz riesgos de gestión'!$T$66),"")</f>
        <v/>
      </c>
      <c r="AG44" s="144" t="str">
        <f>IF(AND('Matriz riesgos de gestión'!$AD$67="Baja",'Matriz riesgos de gestión'!$AF$67="Mayor"),CONCATENATE("R9C",'Matriz riesgos de gestión'!$T$67),"")</f>
        <v/>
      </c>
      <c r="AH44" s="145" t="str">
        <f>IF(AND('Matriz riesgos de gestión'!$AD$62="Baja",'Matriz riesgos de gestión'!$AF$62="Catastrófico"),CONCATENATE("R9C",'Matriz riesgos de gestión'!$T$62),"")</f>
        <v/>
      </c>
      <c r="AI44" s="146" t="str">
        <f>IF(AND('Matriz riesgos de gestión'!$AD$63="Baja",'Matriz riesgos de gestión'!$AF$63="Catastrófico"),CONCATENATE("R9C",'Matriz riesgos de gestión'!$T$63),"")</f>
        <v/>
      </c>
      <c r="AJ44" s="146" t="str">
        <f>IF(AND('Matriz riesgos de gestión'!$AD$64="Baja",'Matriz riesgos de gestión'!$AF$64="Catastrófico"),CONCATENATE("R9C",'Matriz riesgos de gestión'!$T$64),"")</f>
        <v/>
      </c>
      <c r="AK44" s="146" t="str">
        <f>IF(AND('Matriz riesgos de gestión'!$AD$65="Baja",'Matriz riesgos de gestión'!$AF$65="Catastrófico"),CONCATENATE("R9C",'Matriz riesgos de gestión'!$T$65),"")</f>
        <v/>
      </c>
      <c r="AL44" s="146" t="str">
        <f>IF(AND('Matriz riesgos de gestión'!$AD$66="Baja",'Matriz riesgos de gestión'!$AF$66="Catastrófico"),CONCATENATE("R9C",'Matriz riesgos de gestión'!$T$66),"")</f>
        <v/>
      </c>
      <c r="AM44" s="147" t="str">
        <f>IF(AND('Matriz riesgos de gestión'!$AD$67="Baja",'Matriz riesgos de gestión'!$AF$67="Catastrófico"),CONCATENATE("R9C",'Matriz riesgos de gestión'!$T$67),"")</f>
        <v/>
      </c>
      <c r="AN44" s="115"/>
      <c r="AO44" s="684"/>
      <c r="AP44" s="670"/>
      <c r="AQ44" s="670"/>
      <c r="AR44" s="670"/>
      <c r="AS44" s="670"/>
      <c r="AT44" s="685"/>
      <c r="AU44" s="115"/>
      <c r="AV44" s="115"/>
      <c r="AW44" s="115"/>
      <c r="AX44" s="115"/>
      <c r="AY44" s="115"/>
      <c r="AZ44" s="115"/>
      <c r="BA44" s="115"/>
      <c r="BB44" s="115"/>
      <c r="BC44" s="115"/>
      <c r="BD44" s="115"/>
      <c r="BE44" s="115"/>
      <c r="BF44" s="115"/>
      <c r="BG44" s="115"/>
      <c r="BH44" s="115"/>
      <c r="BI44" s="115"/>
    </row>
    <row r="45" spans="1:61" ht="15.75" customHeight="1" x14ac:dyDescent="0.25">
      <c r="A45" s="115"/>
      <c r="B45" s="654"/>
      <c r="C45" s="670"/>
      <c r="D45" s="653"/>
      <c r="E45" s="671"/>
      <c r="F45" s="672"/>
      <c r="G45" s="672"/>
      <c r="H45" s="672"/>
      <c r="I45" s="672"/>
      <c r="J45" s="163" t="str">
        <f>IF(AND('Matriz riesgos de gestión'!$AD$68="Baja",'Matriz riesgos de gestión'!$AF$68="Leve"),CONCATENATE("R10C",'Matriz riesgos de gestión'!$T$68),"")</f>
        <v/>
      </c>
      <c r="K45" s="164" t="str">
        <f>IF(AND('Matriz riesgos de gestión'!$AD$69="Baja",'Matriz riesgos de gestión'!$AF$69="Leve"),CONCATENATE("R10C",'Matriz riesgos de gestión'!$T$69),"")</f>
        <v/>
      </c>
      <c r="L45" s="164" t="str">
        <f>IF(AND('Matriz riesgos de gestión'!$AD$70="Baja",'Matriz riesgos de gestión'!$AF$70="Leve"),CONCATENATE("R10C",'Matriz riesgos de gestión'!$T$70),"")</f>
        <v/>
      </c>
      <c r="M45" s="164" t="str">
        <f>IF(AND('Matriz riesgos de gestión'!$AD$71="Baja",'Matriz riesgos de gestión'!$AF$71="Leve"),CONCATENATE("R10C",'Matriz riesgos de gestión'!$T$71),"")</f>
        <v/>
      </c>
      <c r="N45" s="164" t="str">
        <f>IF(AND('Matriz riesgos de gestión'!$AD$72="Baja",'Matriz riesgos de gestión'!$AF$72="Leve"),CONCATENATE("R10C",'Matriz riesgos de gestión'!$T$72),"")</f>
        <v/>
      </c>
      <c r="O45" s="165" t="str">
        <f>IF(AND('Matriz riesgos de gestión'!$AD$73="Baja",'Matriz riesgos de gestión'!$AF$73="Leve"),CONCATENATE("R10C",'Matriz riesgos de gestión'!$T$73),"")</f>
        <v/>
      </c>
      <c r="P45" s="154" t="str">
        <f>IF(AND('Matriz riesgos de gestión'!$AD$68="Baja",'Matriz riesgos de gestión'!$AF$68="Menor"),CONCATENATE("R10C",'Matriz riesgos de gestión'!$T$68),"")</f>
        <v/>
      </c>
      <c r="Q45" s="155" t="str">
        <f>IF(AND('Matriz riesgos de gestión'!$AD$69="Baja",'Matriz riesgos de gestión'!$AF$69="Menor"),CONCATENATE("R10C",'Matriz riesgos de gestión'!$T$69),"")</f>
        <v/>
      </c>
      <c r="R45" s="155" t="str">
        <f>IF(AND('Matriz riesgos de gestión'!$AD$70="Baja",'Matriz riesgos de gestión'!$AF$70="Menor"),CONCATENATE("R10C",'Matriz riesgos de gestión'!$T$70),"")</f>
        <v/>
      </c>
      <c r="S45" s="155" t="str">
        <f>IF(AND('Matriz riesgos de gestión'!$AD$71="Baja",'Matriz riesgos de gestión'!$AF$71="Menor"),CONCATENATE("R10C",'Matriz riesgos de gestión'!$T$71),"")</f>
        <v/>
      </c>
      <c r="T45" s="155" t="str">
        <f>IF(AND('Matriz riesgos de gestión'!$AD$72="Baja",'Matriz riesgos de gestión'!$AF$72="Menor"),CONCATENATE("R10C",'Matriz riesgos de gestión'!$T$72),"")</f>
        <v/>
      </c>
      <c r="U45" s="156" t="str">
        <f>IF(AND('Matriz riesgos de gestión'!$AD$73="Baja",'Matriz riesgos de gestión'!$AF$73="Menor"),CONCATENATE("R10C",'Matriz riesgos de gestión'!$T$73),"")</f>
        <v/>
      </c>
      <c r="V45" s="157" t="str">
        <f>IF(AND('Matriz riesgos de gestión'!$AD$68="Baja",'Matriz riesgos de gestión'!$AF$68="Moderado"),CONCATENATE("R10C",'Matriz riesgos de gestión'!$T$68),"")</f>
        <v>R10C4</v>
      </c>
      <c r="W45" s="158" t="str">
        <f>IF(AND('Matriz riesgos de gestión'!$AD$69="Baja",'Matriz riesgos de gestión'!$AF$69="Moderado"),CONCATENATE("R10C",'Matriz riesgos de gestión'!$T$69),"")</f>
        <v/>
      </c>
      <c r="X45" s="158" t="str">
        <f>IF(AND('Matriz riesgos de gestión'!$AD$70="Baja",'Matriz riesgos de gestión'!$AF$70="Moderado"),CONCATENATE("R10C",'Matriz riesgos de gestión'!$T$70),"")</f>
        <v/>
      </c>
      <c r="Y45" s="158" t="str">
        <f>IF(AND('Matriz riesgos de gestión'!$AD$71="Baja",'Matriz riesgos de gestión'!$AF$71="Moderado"),CONCATENATE("R10C",'Matriz riesgos de gestión'!$T$71),"")</f>
        <v/>
      </c>
      <c r="Z45" s="158" t="str">
        <f>IF(AND('Matriz riesgos de gestión'!$AD$72="Baja",'Matriz riesgos de gestión'!$AF$72="Moderado"),CONCATENATE("R10C",'Matriz riesgos de gestión'!$T$72),"")</f>
        <v/>
      </c>
      <c r="AA45" s="159" t="str">
        <f>IF(AND('Matriz riesgos de gestión'!$AD$73="Baja",'Matriz riesgos de gestión'!$AF$73="Moderado"),CONCATENATE("R10C",'Matriz riesgos de gestión'!$T$73),"")</f>
        <v/>
      </c>
      <c r="AB45" s="148" t="str">
        <f>IF(AND('Matriz riesgos de gestión'!$AD$68="Baja",'Matriz riesgos de gestión'!$AF$68="Mayor"),CONCATENATE("R10C",'Matriz riesgos de gestión'!$T$68),"")</f>
        <v/>
      </c>
      <c r="AC45" s="149" t="str">
        <f>IF(AND('Matriz riesgos de gestión'!$AD$69="Baja",'Matriz riesgos de gestión'!$AF$69="Mayor"),CONCATENATE("R10C",'Matriz riesgos de gestión'!$T$69),"")</f>
        <v/>
      </c>
      <c r="AD45" s="149" t="str">
        <f>IF(AND('Matriz riesgos de gestión'!$AD$70="Baja",'Matriz riesgos de gestión'!$AF$70="Mayor"),CONCATENATE("R10C",'Matriz riesgos de gestión'!$T$70),"")</f>
        <v/>
      </c>
      <c r="AE45" s="149" t="str">
        <f>IF(AND('Matriz riesgos de gestión'!$AD$71="Baja",'Matriz riesgos de gestión'!$AF$71="Mayor"),CONCATENATE("R10C",'Matriz riesgos de gestión'!$T$71),"")</f>
        <v/>
      </c>
      <c r="AF45" s="149" t="str">
        <f>IF(AND('Matriz riesgos de gestión'!$AD$72="Baja",'Matriz riesgos de gestión'!$AF$72="Mayor"),CONCATENATE("R10C",'Matriz riesgos de gestión'!$T$72),"")</f>
        <v/>
      </c>
      <c r="AG45" s="150" t="str">
        <f>IF(AND('Matriz riesgos de gestión'!$AD$73="Baja",'Matriz riesgos de gestión'!$AF$73="Mayor"),CONCATENATE("R10C",'Matriz riesgos de gestión'!$T$73),"")</f>
        <v/>
      </c>
      <c r="AH45" s="151" t="str">
        <f>IF(AND('Matriz riesgos de gestión'!$AD$68="Baja",'Matriz riesgos de gestión'!$AF$68="Catastrófico"),CONCATENATE("R10C",'Matriz riesgos de gestión'!$T$68),"")</f>
        <v/>
      </c>
      <c r="AI45" s="152" t="str">
        <f>IF(AND('Matriz riesgos de gestión'!$AD$69="Baja",'Matriz riesgos de gestión'!$AF$69="Catastrófico"),CONCATENATE("R10C",'Matriz riesgos de gestión'!$T$69),"")</f>
        <v/>
      </c>
      <c r="AJ45" s="152" t="str">
        <f>IF(AND('Matriz riesgos de gestión'!$AD$70="Baja",'Matriz riesgos de gestión'!$AF$70="Catastrófico"),CONCATENATE("R10C",'Matriz riesgos de gestión'!$T$70),"")</f>
        <v/>
      </c>
      <c r="AK45" s="152" t="str">
        <f>IF(AND('Matriz riesgos de gestión'!$AD$71="Baja",'Matriz riesgos de gestión'!$AF$71="Catastrófico"),CONCATENATE("R10C",'Matriz riesgos de gestión'!$T$71),"")</f>
        <v/>
      </c>
      <c r="AL45" s="152" t="str">
        <f>IF(AND('Matriz riesgos de gestión'!$AD$72="Baja",'Matriz riesgos de gestión'!$AF$72="Catastrófico"),CONCATENATE("R10C",'Matriz riesgos de gestión'!$T$72),"")</f>
        <v/>
      </c>
      <c r="AM45" s="153" t="str">
        <f>IF(AND('Matriz riesgos de gestión'!$AD$73="Baja",'Matriz riesgos de gestión'!$AF$73="Catastrófico"),CONCATENATE("R10C",'Matriz riesgos de gestión'!$T$73),"")</f>
        <v/>
      </c>
      <c r="AN45" s="115"/>
      <c r="AO45" s="686"/>
      <c r="AP45" s="687"/>
      <c r="AQ45" s="687"/>
      <c r="AR45" s="687"/>
      <c r="AS45" s="687"/>
      <c r="AT45" s="688"/>
    </row>
    <row r="46" spans="1:61" ht="46.5" customHeight="1" x14ac:dyDescent="0.35">
      <c r="A46" s="115"/>
      <c r="B46" s="654"/>
      <c r="C46" s="670"/>
      <c r="D46" s="653"/>
      <c r="E46" s="693" t="s">
        <v>11</v>
      </c>
      <c r="F46" s="656"/>
      <c r="G46" s="656"/>
      <c r="H46" s="656"/>
      <c r="I46" s="657"/>
      <c r="J46" s="28" t="str">
        <f>IF(AND('Matriz riesgos de gestión'!$AD$4="Muy Baja",'Matriz riesgos de gestión'!$AF$4="Leve"),CONCATENATE("R1C",'Matriz riesgos de gestión'!$T$4),"")</f>
        <v/>
      </c>
      <c r="K46" s="29" t="str">
        <f>IF(AND('Matriz riesgos de gestión'!$AD$5="Muy Baja",'Matriz riesgos de gestión'!$AF$5="Leve"),CONCATENATE("R1C",'Matriz riesgos de gestión'!$T$5),"")</f>
        <v/>
      </c>
      <c r="L46" s="29" t="str">
        <f>IF(AND('Matriz riesgos de gestión'!$AD$6="Muy Baja",'Matriz riesgos de gestión'!$AF$6="Leve"),CONCATENATE("R1C",'Matriz riesgos de gestión'!$T$6),"")</f>
        <v/>
      </c>
      <c r="M46" s="29" t="str">
        <f>IF(AND('Matriz riesgos de gestión'!$AD$7="Muy Baja",'Matriz riesgos de gestión'!$AF$7="Leve"),CONCATENATE("R1C",'Matriz riesgos de gestión'!$T$7),"")</f>
        <v/>
      </c>
      <c r="N46" s="29" t="str">
        <f>IF(AND('Matriz riesgos de gestión'!$AD$8="Muy Baja",'Matriz riesgos de gestión'!$AF$8="Leve"),CONCATENATE("R1C",'Matriz riesgos de gestión'!$T$8),"")</f>
        <v/>
      </c>
      <c r="O46" s="30" t="str">
        <f>IF(AND('Matriz riesgos de gestión'!$AD$9="Muy Baja",'Matriz riesgos de gestión'!$AF$9="Leve"),CONCATENATE("R1C",'Matriz riesgos de gestión'!$T$9),"")</f>
        <v/>
      </c>
      <c r="P46" s="28" t="str">
        <f>IF(AND('Matriz riesgos de gestión'!$AD$4="Muy Baja",'Matriz riesgos de gestión'!$AF$4="Menor"),CONCATENATE("R1C",'Matriz riesgos de gestión'!$T$4),"")</f>
        <v/>
      </c>
      <c r="Q46" s="29" t="str">
        <f>IF(AND('Matriz riesgos de gestión'!$AD$5="Muy Baja",'Matriz riesgos de gestión'!$AF$5="Menor"),CONCATENATE("R1C",'Matriz riesgos de gestión'!$T$5),"")</f>
        <v/>
      </c>
      <c r="R46" s="29" t="str">
        <f>IF(AND('Matriz riesgos de gestión'!$AD$6="Muy Baja",'Matriz riesgos de gestión'!$AF$6="Menor"),CONCATENATE("R1C",'Matriz riesgos de gestión'!$T$6),"")</f>
        <v/>
      </c>
      <c r="S46" s="29" t="str">
        <f>IF(AND('Matriz riesgos de gestión'!$AD$7="Muy Baja",'Matriz riesgos de gestión'!$AF$7="Menor"),CONCATENATE("R1C",'Matriz riesgos de gestión'!$T$7),"")</f>
        <v/>
      </c>
      <c r="T46" s="29" t="str">
        <f>IF(AND('Matriz riesgos de gestión'!$AD$8="Muy Baja",'Matriz riesgos de gestión'!$AF$8="Menor"),CONCATENATE("R1C",'Matriz riesgos de gestión'!$T$8),"")</f>
        <v>R1C1</v>
      </c>
      <c r="U46" s="30" t="str">
        <f>IF(AND('Matriz riesgos de gestión'!$AD$9="Muy Baja",'Matriz riesgos de gestión'!$AF$9="Menor"),CONCATENATE("R1C",'Matriz riesgos de gestión'!$T$9),"")</f>
        <v/>
      </c>
      <c r="V46" s="25" t="str">
        <f>IF(AND('Matriz riesgos de gestión'!$AD$4="Muy Baja",'Matriz riesgos de gestión'!$AF$4="Moderado"),CONCATENATE("R1C",'Matriz riesgos de gestión'!$T$4),"")</f>
        <v/>
      </c>
      <c r="W46" s="31" t="str">
        <f>IF(AND('Matriz riesgos de gestión'!$AD$5="Muy Baja",'Matriz riesgos de gestión'!$AF$5="Moderado"),CONCATENATE("R1C",'Matriz riesgos de gestión'!$T$5),"")</f>
        <v/>
      </c>
      <c r="X46" s="26" t="str">
        <f>IF(AND('Matriz riesgos de gestión'!$AD$6="Muy Baja",'Matriz riesgos de gestión'!$AF$6="Moderado"),CONCATENATE("R1C",'Matriz riesgos de gestión'!$T$6),"")</f>
        <v/>
      </c>
      <c r="Y46" s="26" t="str">
        <f>IF(AND('Matriz riesgos de gestión'!$AD$7="Muy Baja",'Matriz riesgos de gestión'!$AF$7="Moderado"),CONCATENATE("R1C",'Matriz riesgos de gestión'!$T$7),"")</f>
        <v/>
      </c>
      <c r="Z46" s="26" t="str">
        <f>IF(AND('Matriz riesgos de gestión'!$AD$8="Muy Baja",'Matriz riesgos de gestión'!$AF$8="Moderado"),CONCATENATE("R1C",'Matriz riesgos de gestión'!$T$8),"")</f>
        <v/>
      </c>
      <c r="AA46" s="27" t="str">
        <f>IF(AND('Matriz riesgos de gestión'!$AD$9="Muy Baja",'Matriz riesgos de gestión'!$AF$9="Moderado"),CONCATENATE("R1C",'Matriz riesgos de gestión'!$T$9),"")</f>
        <v/>
      </c>
      <c r="AB46" s="19" t="str">
        <f>IF(AND('Matriz riesgos de gestión'!$AD$4="Muy Baja",'Matriz riesgos de gestión'!$AF$4="Mayor"),CONCATENATE("R1C",'Matriz riesgos de gestión'!$T$4),"")</f>
        <v/>
      </c>
      <c r="AC46" s="20" t="str">
        <f>IF(AND('Matriz riesgos de gestión'!$AD$5="Muy Baja",'Matriz riesgos de gestión'!$AF$5="Mayor"),CONCATENATE("R1C",'Matriz riesgos de gestión'!$T$5),"")</f>
        <v/>
      </c>
      <c r="AD46" s="20" t="str">
        <f>IF(AND('Matriz riesgos de gestión'!$AD$6="Muy Baja",'Matriz riesgos de gestión'!$AF$6="Mayor"),CONCATENATE("R1C",'Matriz riesgos de gestión'!$T$6),"")</f>
        <v/>
      </c>
      <c r="AE46" s="20" t="str">
        <f>IF(AND('Matriz riesgos de gestión'!$AD$7="Muy Baja",'Matriz riesgos de gestión'!$AF$7="Mayor"),CONCATENATE("R1C",'Matriz riesgos de gestión'!$T$7),"")</f>
        <v/>
      </c>
      <c r="AF46" s="20" t="str">
        <f>IF(AND('Matriz riesgos de gestión'!$AD$8="Muy Baja",'Matriz riesgos de gestión'!$AF$8="Mayor"),CONCATENATE("R1C",'Matriz riesgos de gestión'!$T$8),"")</f>
        <v/>
      </c>
      <c r="AG46" s="21" t="str">
        <f>IF(AND('Matriz riesgos de gestión'!$AD$9="Muy Baja",'Matriz riesgos de gestión'!$AF$9="Mayor"),CONCATENATE("R1C",'Matriz riesgos de gestión'!$T$9),"")</f>
        <v/>
      </c>
      <c r="AH46" s="22" t="str">
        <f>IF(AND('Matriz riesgos de gestión'!$AD$4="Muy Baja",'Matriz riesgos de gestión'!$AF$4="Catastrófico"),CONCATENATE("R1C",'Matriz riesgos de gestión'!$T$4),"")</f>
        <v/>
      </c>
      <c r="AI46" s="23" t="str">
        <f>IF(AND('Matriz riesgos de gestión'!$AD$5="Muy Baja",'Matriz riesgos de gestión'!$AF$5="Catastrófico"),CONCATENATE("R1C",'Matriz riesgos de gestión'!$T$5),"")</f>
        <v/>
      </c>
      <c r="AJ46" s="23" t="str">
        <f>IF(AND('Matriz riesgos de gestión'!$AD$6="Muy Baja",'Matriz riesgos de gestión'!$AF$6="Catastrófico"),CONCATENATE("R1C",'Matriz riesgos de gestión'!$T$6),"")</f>
        <v/>
      </c>
      <c r="AK46" s="23" t="str">
        <f>IF(AND('Matriz riesgos de gestión'!$AD$7="Muy Baja",'Matriz riesgos de gestión'!$AF$7="Catastrófico"),CONCATENATE("R1C",'Matriz riesgos de gestión'!$T$7),"")</f>
        <v/>
      </c>
      <c r="AL46" s="23" t="str">
        <f>IF(AND('Matriz riesgos de gestión'!$AD$8="Muy Baja",'Matriz riesgos de gestión'!$AF$8="Catastrófico"),CONCATENATE("R1C",'Matriz riesgos de gestión'!$T$8),"")</f>
        <v/>
      </c>
      <c r="AM46" s="24" t="str">
        <f>IF(AND('Matriz riesgos de gestión'!$AD$9="Muy Baja",'Matriz riesgos de gestión'!$AF$9="Catastrófico"),CONCATENATE("R1C",'Matriz riesgos de gestión'!$T$9),"")</f>
        <v/>
      </c>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row>
    <row r="47" spans="1:61" ht="46.5" customHeight="1" x14ac:dyDescent="0.25">
      <c r="A47" s="115"/>
      <c r="B47" s="654"/>
      <c r="C47" s="670"/>
      <c r="D47" s="653"/>
      <c r="E47" s="659"/>
      <c r="F47" s="670"/>
      <c r="G47" s="670"/>
      <c r="H47" s="670"/>
      <c r="I47" s="653"/>
      <c r="J47" s="160" t="str">
        <f>IF(AND('Matriz riesgos de gestión'!$AD$15="Muy Baja",'Matriz riesgos de gestión'!$AF$15="Leve"),CONCATENATE("R2C",'Matriz riesgos de gestión'!$T$15),"")</f>
        <v/>
      </c>
      <c r="K47" s="161" t="str">
        <f>IF(AND('Matriz riesgos de gestión'!$AD$16="Muy Baja",'Matriz riesgos de gestión'!$AF$16="Leve"),CONCATENATE("R2C",'Matriz riesgos de gestión'!$T$16),"")</f>
        <v/>
      </c>
      <c r="L47" s="161" t="str">
        <f>IF(AND('Matriz riesgos de gestión'!$AD$17="Muy Baja",'Matriz riesgos de gestión'!$AF$17="Leve"),CONCATENATE("R2C",'Matriz riesgos de gestión'!$T$17),"")</f>
        <v/>
      </c>
      <c r="M47" s="161" t="str">
        <f>IF(AND('Matriz riesgos de gestión'!$AD$22="Muy Baja",'Matriz riesgos de gestión'!$AF$22="Leve"),CONCATENATE("R2C",'Matriz riesgos de gestión'!$T$22),"")</f>
        <v/>
      </c>
      <c r="N47" s="161" t="str">
        <f>IF(AND('Matriz riesgos de gestión'!$AD$23="Muy Baja",'Matriz riesgos de gestión'!$AF$23="Leve"),CONCATENATE("R2C",'Matriz riesgos de gestión'!$T$23),"")</f>
        <v/>
      </c>
      <c r="O47" s="162" t="str">
        <f>IF(AND('Matriz riesgos de gestión'!$AD$24="Muy Baja",'Matriz riesgos de gestión'!$AF$24="Leve"),CONCATENATE("R2C",'Matriz riesgos de gestión'!$T$24),"")</f>
        <v/>
      </c>
      <c r="P47" s="160" t="str">
        <f>IF(AND('Matriz riesgos de gestión'!$AD$15="Muy Baja",'Matriz riesgos de gestión'!$AF$15="Menor"),CONCATENATE("R2C",'Matriz riesgos de gestión'!$T$15),"")</f>
        <v/>
      </c>
      <c r="Q47" s="161" t="str">
        <f>IF(AND('Matriz riesgos de gestión'!$AD$16="Muy Baja",'Matriz riesgos de gestión'!$AF$16="Menor"),CONCATENATE("R2C",'Matriz riesgos de gestión'!$T$16),"")</f>
        <v/>
      </c>
      <c r="R47" s="161" t="str">
        <f>IF(AND('Matriz riesgos de gestión'!$AD$17="Muy Baja",'Matriz riesgos de gestión'!$AF$17="Menor"),CONCATENATE("R2C",'Matriz riesgos de gestión'!$T$17),"")</f>
        <v/>
      </c>
      <c r="S47" s="161" t="str">
        <f>IF(AND('Matriz riesgos de gestión'!$AD$22="Muy Baja",'Matriz riesgos de gestión'!$AF$22="Menor"),CONCATENATE("R2C",'Matriz riesgos de gestión'!$T$22),"")</f>
        <v/>
      </c>
      <c r="T47" s="161" t="str">
        <f>IF(AND('Matriz riesgos de gestión'!$AD$23="Muy Baja",'Matriz riesgos de gestión'!$AF$23="Menor"),CONCATENATE("R2C",'Matriz riesgos de gestión'!$T$23),"")</f>
        <v/>
      </c>
      <c r="U47" s="162" t="str">
        <f>IF(AND('Matriz riesgos de gestión'!$AD$24="Muy Baja",'Matriz riesgos de gestión'!$AF$24="Menor"),CONCATENATE("R2C",'Matriz riesgos de gestión'!$T$24),"")</f>
        <v/>
      </c>
      <c r="V47" s="154" t="str">
        <f>IF(AND('Matriz riesgos de gestión'!$AD$15="Muy Baja",'Matriz riesgos de gestión'!$AF$15="Moderado"),CONCATENATE("R2C",'Matriz riesgos de gestión'!$T$15),"")</f>
        <v/>
      </c>
      <c r="W47" s="155" t="str">
        <f>IF(AND('Matriz riesgos de gestión'!$AD$16="Muy Baja",'Matriz riesgos de gestión'!$AF$16="Moderado"),CONCATENATE("R2C",'Matriz riesgos de gestión'!$T$16),"")</f>
        <v/>
      </c>
      <c r="X47" s="155" t="str">
        <f>IF(AND('Matriz riesgos de gestión'!$AD$17="Muy Baja",'Matriz riesgos de gestión'!$AF$17="Moderado"),CONCATENATE("R2C",'Matriz riesgos de gestión'!$T$17),"")</f>
        <v/>
      </c>
      <c r="Y47" s="155" t="str">
        <f>IF(AND('Matriz riesgos de gestión'!$AD$22="Muy Baja",'Matriz riesgos de gestión'!$AF$22="Moderado"),CONCATENATE("R2C",'Matriz riesgos de gestión'!$T$22),"")</f>
        <v>R2C1</v>
      </c>
      <c r="Z47" s="155" t="str">
        <f>IF(AND('Matriz riesgos de gestión'!$AD$23="Muy Baja",'Matriz riesgos de gestión'!$AF$23="Moderado"),CONCATENATE("R2C",'Matriz riesgos de gestión'!$T$23),"")</f>
        <v>R2C2</v>
      </c>
      <c r="AA47" s="156" t="str">
        <f>IF(AND('Matriz riesgos de gestión'!$AD$24="Muy Baja",'Matriz riesgos de gestión'!$AF$24="Moderado"),CONCATENATE("R2C",'Matriz riesgos de gestión'!$T$24),"")</f>
        <v>R2C3</v>
      </c>
      <c r="AB47" s="142" t="str">
        <f>IF(AND('Matriz riesgos de gestión'!$AD$15="Muy Baja",'Matriz riesgos de gestión'!$AF$15="Mayor"),CONCATENATE("R2C",'Matriz riesgos de gestión'!$T$15),"")</f>
        <v/>
      </c>
      <c r="AC47" s="143" t="str">
        <f>IF(AND('Matriz riesgos de gestión'!$AD$16="Muy Baja",'Matriz riesgos de gestión'!$AF$16="Mayor"),CONCATENATE("R2C",'Matriz riesgos de gestión'!$T$16),"")</f>
        <v/>
      </c>
      <c r="AD47" s="143" t="str">
        <f>IF(AND('Matriz riesgos de gestión'!$AD$17="Muy Baja",'Matriz riesgos de gestión'!$AF$17="Mayor"),CONCATENATE("R2C",'Matriz riesgos de gestión'!$T$17),"")</f>
        <v/>
      </c>
      <c r="AE47" s="143" t="str">
        <f>IF(AND('Matriz riesgos de gestión'!$AD$22="Muy Baja",'Matriz riesgos de gestión'!$AF$22="Mayor"),CONCATENATE("R2C",'Matriz riesgos de gestión'!$T$22),"")</f>
        <v/>
      </c>
      <c r="AF47" s="143" t="str">
        <f>IF(AND('Matriz riesgos de gestión'!$AD$23="Muy Baja",'Matriz riesgos de gestión'!$AF$23="Mayor"),CONCATENATE("R2C",'Matriz riesgos de gestión'!$T$23),"")</f>
        <v/>
      </c>
      <c r="AG47" s="144" t="str">
        <f>IF(AND('Matriz riesgos de gestión'!$AD$24="Muy Baja",'Matriz riesgos de gestión'!$AF$24="Mayor"),CONCATENATE("R2C",'Matriz riesgos de gestión'!$T$24),"")</f>
        <v/>
      </c>
      <c r="AH47" s="145" t="str">
        <f>IF(AND('Matriz riesgos de gestión'!$AD$15="Muy Baja",'Matriz riesgos de gestión'!$AF$15="Catastrófico"),CONCATENATE("R2C",'Matriz riesgos de gestión'!$T$15),"")</f>
        <v/>
      </c>
      <c r="AI47" s="146" t="str">
        <f>IF(AND('Matriz riesgos de gestión'!$AD$16="Muy Baja",'Matriz riesgos de gestión'!$AF$16="Catastrófico"),CONCATENATE("R2C",'Matriz riesgos de gestión'!$T$16),"")</f>
        <v/>
      </c>
      <c r="AJ47" s="146" t="str">
        <f>IF(AND('Matriz riesgos de gestión'!$AD$17="Muy Baja",'Matriz riesgos de gestión'!$AF$17="Catastrófico"),CONCATENATE("R2C",'Matriz riesgos de gestión'!$T$17),"")</f>
        <v/>
      </c>
      <c r="AK47" s="146" t="str">
        <f>IF(AND('Matriz riesgos de gestión'!$AD$22="Muy Baja",'Matriz riesgos de gestión'!$AF$22="Catastrófico"),CONCATENATE("R2C",'Matriz riesgos de gestión'!$T$22),"")</f>
        <v/>
      </c>
      <c r="AL47" s="146" t="str">
        <f>IF(AND('Matriz riesgos de gestión'!$AD$23="Muy Baja",'Matriz riesgos de gestión'!$AF$23="Catastrófico"),CONCATENATE("R2C",'Matriz riesgos de gestión'!$T$23),"")</f>
        <v/>
      </c>
      <c r="AM47" s="147" t="str">
        <f>IF(AND('Matriz riesgos de gestión'!$AD$24="Muy Baja",'Matriz riesgos de gestión'!$AF$24="Catastrófico"),CONCATENATE("R2C",'Matriz riesgos de gestión'!$T$24),"")</f>
        <v/>
      </c>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row>
    <row r="48" spans="1:61" ht="15" customHeight="1" x14ac:dyDescent="0.25">
      <c r="A48" s="115"/>
      <c r="B48" s="654"/>
      <c r="C48" s="670"/>
      <c r="D48" s="653"/>
      <c r="E48" s="659"/>
      <c r="F48" s="670"/>
      <c r="G48" s="670"/>
      <c r="H48" s="670"/>
      <c r="I48" s="653"/>
      <c r="J48" s="160" t="str">
        <f>IF(AND('Matriz riesgos de gestión'!$AD$25="Muy Baja",'Matriz riesgos de gestión'!$AF$25="Leve"),CONCATENATE("R3C",'Matriz riesgos de gestión'!$T$25),"")</f>
        <v/>
      </c>
      <c r="K48" s="161" t="str">
        <f>IF(AND('Matriz riesgos de gestión'!$AD$26="Muy Baja",'Matriz riesgos de gestión'!$AF$26="Leve"),CONCATENATE("R3C",'Matriz riesgos de gestión'!$T$26),"")</f>
        <v/>
      </c>
      <c r="L48" s="161" t="str">
        <f>IF(AND('Matriz riesgos de gestión'!$AD$27="Muy Baja",'Matriz riesgos de gestión'!$AF$27="Leve"),CONCATENATE("R3C",'Matriz riesgos de gestión'!$T$27),"")</f>
        <v/>
      </c>
      <c r="M48" s="161" t="str">
        <f>IF(AND('Matriz riesgos de gestión'!$AD$29="Muy Baja",'Matriz riesgos de gestión'!$AF$29="Leve"),CONCATENATE("R3C",'Matriz riesgos de gestión'!$T$29),"")</f>
        <v/>
      </c>
      <c r="N48" s="161" t="str">
        <f>IF(AND('Matriz riesgos de gestión'!$AD$30="Muy Baja",'Matriz riesgos de gestión'!$AF$30="Leve"),CONCATENATE("R3C",'Matriz riesgos de gestión'!$T$30),"")</f>
        <v/>
      </c>
      <c r="O48" s="162" t="str">
        <f>IF(AND('Matriz riesgos de gestión'!$AD$31="Muy Baja",'Matriz riesgos de gestión'!$AF$31="Leve"),CONCATENATE("R3C",'Matriz riesgos de gestión'!$T$31),"")</f>
        <v/>
      </c>
      <c r="P48" s="160" t="str">
        <f>IF(AND('Matriz riesgos de gestión'!$AD$25="Muy Baja",'Matriz riesgos de gestión'!$AF$25="Menor"),CONCATENATE("R3C",'Matriz riesgos de gestión'!$T$25),"")</f>
        <v/>
      </c>
      <c r="Q48" s="161" t="str">
        <f>IF(AND('Matriz riesgos de gestión'!$AD$26="Muy Baja",'Matriz riesgos de gestión'!$AF$26="Menor"),CONCATENATE("R3C",'Matriz riesgos de gestión'!$T$26),"")</f>
        <v/>
      </c>
      <c r="R48" s="161" t="str">
        <f>IF(AND('Matriz riesgos de gestión'!$AD$27="Muy Baja",'Matriz riesgos de gestión'!$AF$27="Menor"),CONCATENATE("R3C",'Matriz riesgos de gestión'!$T$27),"")</f>
        <v/>
      </c>
      <c r="S48" s="161" t="str">
        <f>IF(AND('Matriz riesgos de gestión'!$AD$29="Muy Baja",'Matriz riesgos de gestión'!$AF$29="Menor"),CONCATENATE("R3C",'Matriz riesgos de gestión'!$T$29),"")</f>
        <v/>
      </c>
      <c r="T48" s="161" t="str">
        <f>IF(AND('Matriz riesgos de gestión'!$AD$30="Muy Baja",'Matriz riesgos de gestión'!$AF$30="Menor"),CONCATENATE("R3C",'Matriz riesgos de gestión'!$T$30),"")</f>
        <v/>
      </c>
      <c r="U48" s="162" t="str">
        <f>IF(AND('Matriz riesgos de gestión'!$AD$31="Muy Baja",'Matriz riesgos de gestión'!$AF$31="Menor"),CONCATENATE("R3C",'Matriz riesgos de gestión'!$T$31),"")</f>
        <v/>
      </c>
      <c r="V48" s="154" t="str">
        <f>IF(AND('Matriz riesgos de gestión'!$AD$25="Muy Baja",'Matriz riesgos de gestión'!$AF$25="Moderado"),CONCATENATE("R3C",'Matriz riesgos de gestión'!$T$25),"")</f>
        <v/>
      </c>
      <c r="W48" s="155" t="str">
        <f>IF(AND('Matriz riesgos de gestión'!$AD$26="Muy Baja",'Matriz riesgos de gestión'!$AF$26="Moderado"),CONCATENATE("R3C",'Matriz riesgos de gestión'!$T$26),"")</f>
        <v/>
      </c>
      <c r="X48" s="155" t="str">
        <f>IF(AND('Matriz riesgos de gestión'!$AD$27="Muy Baja",'Matriz riesgos de gestión'!$AF$27="Moderado"),CONCATENATE("R3C",'Matriz riesgos de gestión'!$T$27),"")</f>
        <v/>
      </c>
      <c r="Y48" s="155" t="str">
        <f>IF(AND('Matriz riesgos de gestión'!$AD$29="Muy Baja",'Matriz riesgos de gestión'!$AF$29="Moderado"),CONCATENATE("R3C",'Matriz riesgos de gestión'!$T$29),"")</f>
        <v/>
      </c>
      <c r="Z48" s="155" t="str">
        <f>IF(AND('Matriz riesgos de gestión'!$AD$30="Muy Baja",'Matriz riesgos de gestión'!$AF$30="Moderado"),CONCATENATE("R3C",'Matriz riesgos de gestión'!$T$30),"")</f>
        <v/>
      </c>
      <c r="AA48" s="156" t="str">
        <f>IF(AND('Matriz riesgos de gestión'!$AD$31="Muy Baja",'Matriz riesgos de gestión'!$AF$31="Moderado"),CONCATENATE("R3C",'Matriz riesgos de gestión'!$T$31),"")</f>
        <v/>
      </c>
      <c r="AB48" s="142" t="str">
        <f>IF(AND('Matriz riesgos de gestión'!$AD$25="Muy Baja",'Matriz riesgos de gestión'!$AF$25="Mayor"),CONCATENATE("R3C",'Matriz riesgos de gestión'!$T$25),"")</f>
        <v/>
      </c>
      <c r="AC48" s="143" t="str">
        <f>IF(AND('Matriz riesgos de gestión'!$AD$26="Muy Baja",'Matriz riesgos de gestión'!$AF$26="Mayor"),CONCATENATE("R3C",'Matriz riesgos de gestión'!$T$26),"")</f>
        <v/>
      </c>
      <c r="AD48" s="143" t="str">
        <f>IF(AND('Matriz riesgos de gestión'!$AD$27="Muy Baja",'Matriz riesgos de gestión'!$AF$27="Mayor"),CONCATENATE("R3C",'Matriz riesgos de gestión'!$T$27),"")</f>
        <v>R3C3</v>
      </c>
      <c r="AE48" s="143" t="str">
        <f>IF(AND('Matriz riesgos de gestión'!$AD$29="Muy Baja",'Matriz riesgos de gestión'!$AF$29="Mayor"),CONCATENATE("R3C",'Matriz riesgos de gestión'!$T$29),"")</f>
        <v>R3C1</v>
      </c>
      <c r="AF48" s="143" t="str">
        <f>IF(AND('Matriz riesgos de gestión'!$AD$30="Muy Baja",'Matriz riesgos de gestión'!$AF$30="Mayor"),CONCATENATE("R3C",'Matriz riesgos de gestión'!$T$30),"")</f>
        <v>R3C2</v>
      </c>
      <c r="AG48" s="144" t="str">
        <f>IF(AND('Matriz riesgos de gestión'!$AD$31="Muy Baja",'Matriz riesgos de gestión'!$AF$31="Mayor"),CONCATENATE("R3C",'Matriz riesgos de gestión'!$T$31),"")</f>
        <v>R3C1</v>
      </c>
      <c r="AH48" s="145" t="str">
        <f>IF(AND('Matriz riesgos de gestión'!$AD$25="Muy Baja",'Matriz riesgos de gestión'!$AF$25="Catastrófico"),CONCATENATE("R3C",'Matriz riesgos de gestión'!$T$25),"")</f>
        <v/>
      </c>
      <c r="AI48" s="146" t="str">
        <f>IF(AND('Matriz riesgos de gestión'!$AD$26="Muy Baja",'Matriz riesgos de gestión'!$AF$26="Catastrófico"),CONCATENATE("R3C",'Matriz riesgos de gestión'!$T$26),"")</f>
        <v/>
      </c>
      <c r="AJ48" s="146" t="str">
        <f>IF(AND('Matriz riesgos de gestión'!$AD$27="Muy Baja",'Matriz riesgos de gestión'!$AF$27="Catastrófico"),CONCATENATE("R3C",'Matriz riesgos de gestión'!$T$27),"")</f>
        <v/>
      </c>
      <c r="AK48" s="146" t="str">
        <f>IF(AND('Matriz riesgos de gestión'!$AD$29="Muy Baja",'Matriz riesgos de gestión'!$AF$29="Catastrófico"),CONCATENATE("R3C",'Matriz riesgos de gestión'!$T$29),"")</f>
        <v/>
      </c>
      <c r="AL48" s="146" t="str">
        <f>IF(AND('Matriz riesgos de gestión'!$AD$30="Muy Baja",'Matriz riesgos de gestión'!$AF$30="Catastrófico"),CONCATENATE("R3C",'Matriz riesgos de gestión'!$T$30),"")</f>
        <v/>
      </c>
      <c r="AM48" s="147" t="str">
        <f>IF(AND('Matriz riesgos de gestión'!$AD$31="Muy Baja",'Matriz riesgos de gestión'!$AF$31="Catastrófico"),CONCATENATE("R3C",'Matriz riesgos de gestión'!$T$31),"")</f>
        <v/>
      </c>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row>
    <row r="49" spans="1:61" ht="15" customHeight="1" x14ac:dyDescent="0.25">
      <c r="A49" s="115"/>
      <c r="B49" s="654"/>
      <c r="C49" s="670"/>
      <c r="D49" s="653"/>
      <c r="E49" s="659"/>
      <c r="F49" s="670"/>
      <c r="G49" s="670"/>
      <c r="H49" s="670"/>
      <c r="I49" s="653"/>
      <c r="J49" s="160" t="str">
        <f>IF(AND('Matriz riesgos de gestión'!$AD$32="Muy Baja",'Matriz riesgos de gestión'!$AF$32="Leve"),CONCATENATE("R4C",'Matriz riesgos de gestión'!$T$32),"")</f>
        <v/>
      </c>
      <c r="K49" s="161" t="str">
        <f>IF(AND('Matriz riesgos de gestión'!$AD$33="Muy Baja",'Matriz riesgos de gestión'!$AF$33="Leve"),CONCATENATE("R4C",'Matriz riesgos de gestión'!$T$33),"")</f>
        <v/>
      </c>
      <c r="L49" s="161" t="str">
        <f>IF(AND('Matriz riesgos de gestión'!$AD$34="Muy Baja",'Matriz riesgos de gestión'!$AF$34="Leve"),CONCATENATE("R4C",'Matriz riesgos de gestión'!$T$34),"")</f>
        <v/>
      </c>
      <c r="M49" s="161" t="str">
        <f>IF(AND('Matriz riesgos de gestión'!$AD$35="Muy Baja",'Matriz riesgos de gestión'!$AF$35="Leve"),CONCATENATE("R4C",'Matriz riesgos de gestión'!$T$35),"")</f>
        <v/>
      </c>
      <c r="N49" s="161" t="str">
        <f>IF(AND('Matriz riesgos de gestión'!$AD$36="Muy Baja",'Matriz riesgos de gestión'!$AF$36="Leve"),CONCATENATE("R4C",'Matriz riesgos de gestión'!$T$36),"")</f>
        <v/>
      </c>
      <c r="O49" s="162" t="str">
        <f>IF(AND('Matriz riesgos de gestión'!$AD$37="Muy Baja",'Matriz riesgos de gestión'!$AF$37="Leve"),CONCATENATE("R4C",'Matriz riesgos de gestión'!$T$37),"")</f>
        <v/>
      </c>
      <c r="P49" s="160" t="str">
        <f>IF(AND('Matriz riesgos de gestión'!$AD$32="Muy Baja",'Matriz riesgos de gestión'!$AF$32="Menor"),CONCATENATE("R4C",'Matriz riesgos de gestión'!$T$32),"")</f>
        <v/>
      </c>
      <c r="Q49" s="161" t="str">
        <f>IF(AND('Matriz riesgos de gestión'!$AD$33="Muy Baja",'Matriz riesgos de gestión'!$AF$33="Menor"),CONCATENATE("R4C",'Matriz riesgos de gestión'!$T$33),"")</f>
        <v/>
      </c>
      <c r="R49" s="161" t="str">
        <f>IF(AND('Matriz riesgos de gestión'!$AD$34="Muy Baja",'Matriz riesgos de gestión'!$AF$34="Menor"),CONCATENATE("R4C",'Matriz riesgos de gestión'!$T$34),"")</f>
        <v/>
      </c>
      <c r="S49" s="161" t="str">
        <f>IF(AND('Matriz riesgos de gestión'!$AD$35="Muy Baja",'Matriz riesgos de gestión'!$AF$35="Menor"),CONCATENATE("R4C",'Matriz riesgos de gestión'!$T$35),"")</f>
        <v/>
      </c>
      <c r="T49" s="161" t="str">
        <f>IF(AND('Matriz riesgos de gestión'!$AD$36="Muy Baja",'Matriz riesgos de gestión'!$AF$36="Menor"),CONCATENATE("R4C",'Matriz riesgos de gestión'!$T$36),"")</f>
        <v/>
      </c>
      <c r="U49" s="162" t="str">
        <f>IF(AND('Matriz riesgos de gestión'!$AD$37="Muy Baja",'Matriz riesgos de gestión'!$AF$37="Menor"),CONCATENATE("R4C",'Matriz riesgos de gestión'!$T$37),"")</f>
        <v/>
      </c>
      <c r="V49" s="154" t="str">
        <f>IF(AND('Matriz riesgos de gestión'!$AD$32="Muy Baja",'Matriz riesgos de gestión'!$AF$32="Moderado"),CONCATENATE("R4C",'Matriz riesgos de gestión'!$T$32),"")</f>
        <v/>
      </c>
      <c r="W49" s="155" t="str">
        <f>IF(AND('Matriz riesgos de gestión'!$AD$33="Muy Baja",'Matriz riesgos de gestión'!$AF$33="Moderado"),CONCATENATE("R4C",'Matriz riesgos de gestión'!$T$33),"")</f>
        <v>R4C3</v>
      </c>
      <c r="X49" s="155" t="str">
        <f>IF(AND('Matriz riesgos de gestión'!$AD$34="Muy Baja",'Matriz riesgos de gestión'!$AF$34="Moderado"),CONCATENATE("R4C",'Matriz riesgos de gestión'!$T$34),"")</f>
        <v>R4C1</v>
      </c>
      <c r="Y49" s="155" t="str">
        <f>IF(AND('Matriz riesgos de gestión'!$AD$35="Muy Baja",'Matriz riesgos de gestión'!$AF$35="Moderado"),CONCATENATE("R4C",'Matriz riesgos de gestión'!$T$35),"")</f>
        <v>R4C2</v>
      </c>
      <c r="Z49" s="155" t="str">
        <f>IF(AND('Matriz riesgos de gestión'!$AD$36="Muy Baja",'Matriz riesgos de gestión'!$AF$36="Moderado"),CONCATENATE("R4C",'Matriz riesgos de gestión'!$T$36),"")</f>
        <v>R4C1</v>
      </c>
      <c r="AA49" s="156" t="str">
        <f>IF(AND('Matriz riesgos de gestión'!$AD$37="Muy Baja",'Matriz riesgos de gestión'!$AF$37="Moderado"),CONCATENATE("R4C",'Matriz riesgos de gestión'!$T$37),"")</f>
        <v>R4C2</v>
      </c>
      <c r="AB49" s="142" t="str">
        <f>IF(AND('Matriz riesgos de gestión'!$AD$32="Muy Baja",'Matriz riesgos de gestión'!$AF$32="Mayor"),CONCATENATE("R4C",'Matriz riesgos de gestión'!$T$32),"")</f>
        <v/>
      </c>
      <c r="AC49" s="143" t="str">
        <f>IF(AND('Matriz riesgos de gestión'!$AD$33="Muy Baja",'Matriz riesgos de gestión'!$AF$33="Mayor"),CONCATENATE("R4C",'Matriz riesgos de gestión'!$T$33),"")</f>
        <v/>
      </c>
      <c r="AD49" s="143" t="str">
        <f>IF(AND('Matriz riesgos de gestión'!$AD$34="Muy Baja",'Matriz riesgos de gestión'!$AF$34="Mayor"),CONCATENATE("R4C",'Matriz riesgos de gestión'!$T$34),"")</f>
        <v/>
      </c>
      <c r="AE49" s="143" t="str">
        <f>IF(AND('Matriz riesgos de gestión'!$AD$35="Muy Baja",'Matriz riesgos de gestión'!$AF$35="Mayor"),CONCATENATE("R4C",'Matriz riesgos de gestión'!$T$35),"")</f>
        <v/>
      </c>
      <c r="AF49" s="143" t="str">
        <f>IF(AND('Matriz riesgos de gestión'!$AD$36="Muy Baja",'Matriz riesgos de gestión'!$AF$36="Mayor"),CONCATENATE("R4C",'Matriz riesgos de gestión'!$T$36),"")</f>
        <v/>
      </c>
      <c r="AG49" s="144" t="str">
        <f>IF(AND('Matriz riesgos de gestión'!$AD$37="Muy Baja",'Matriz riesgos de gestión'!$AF$37="Mayor"),CONCATENATE("R4C",'Matriz riesgos de gestión'!$T$37),"")</f>
        <v/>
      </c>
      <c r="AH49" s="145" t="str">
        <f>IF(AND('Matriz riesgos de gestión'!$AD$32="Muy Baja",'Matriz riesgos de gestión'!$AF$32="Catastrófico"),CONCATENATE("R4C",'Matriz riesgos de gestión'!$T$32),"")</f>
        <v/>
      </c>
      <c r="AI49" s="146" t="str">
        <f>IF(AND('Matriz riesgos de gestión'!$AD$33="Muy Baja",'Matriz riesgos de gestión'!$AF$33="Catastrófico"),CONCATENATE("R4C",'Matriz riesgos de gestión'!$T$33),"")</f>
        <v/>
      </c>
      <c r="AJ49" s="146" t="str">
        <f>IF(AND('Matriz riesgos de gestión'!$AD$34="Muy Baja",'Matriz riesgos de gestión'!$AF$34="Catastrófico"),CONCATENATE("R4C",'Matriz riesgos de gestión'!$T$34),"")</f>
        <v/>
      </c>
      <c r="AK49" s="146" t="str">
        <f>IF(AND('Matriz riesgos de gestión'!$AD$35="Muy Baja",'Matriz riesgos de gestión'!$AF$35="Catastrófico"),CONCATENATE("R4C",'Matriz riesgos de gestión'!$T$35),"")</f>
        <v/>
      </c>
      <c r="AL49" s="146" t="str">
        <f>IF(AND('Matriz riesgos de gestión'!$AD$36="Muy Baja",'Matriz riesgos de gestión'!$AF$36="Catastrófico"),CONCATENATE("R4C",'Matriz riesgos de gestión'!$T$36),"")</f>
        <v/>
      </c>
      <c r="AM49" s="147" t="str">
        <f>IF(AND('Matriz riesgos de gestión'!$AD$37="Muy Baja",'Matriz riesgos de gestión'!$AF$37="Catastrófico"),CONCATENATE("R4C",'Matriz riesgos de gestión'!$T$37),"")</f>
        <v/>
      </c>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row>
    <row r="50" spans="1:61" ht="15" customHeight="1" x14ac:dyDescent="0.25">
      <c r="A50" s="115"/>
      <c r="B50" s="654"/>
      <c r="C50" s="670"/>
      <c r="D50" s="653"/>
      <c r="E50" s="659"/>
      <c r="F50" s="670"/>
      <c r="G50" s="670"/>
      <c r="H50" s="670"/>
      <c r="I50" s="653"/>
      <c r="J50" s="160" t="str">
        <f>IF(AND('Matriz riesgos de gestión'!$AD$38="Muy Baja",'Matriz riesgos de gestión'!$AF$38="Leve"),CONCATENATE("R5C",'Matriz riesgos de gestión'!$T$38),"")</f>
        <v/>
      </c>
      <c r="K50" s="161" t="str">
        <f>IF(AND('Matriz riesgos de gestión'!$AD$39="Muy Baja",'Matriz riesgos de gestión'!$AF$39="Leve"),CONCATENATE("R5C",'Matriz riesgos de gestión'!$T$39),"")</f>
        <v/>
      </c>
      <c r="L50" s="161" t="str">
        <f>IF(AND('Matriz riesgos de gestión'!$AD$40="Muy Baja",'Matriz riesgos de gestión'!$AF$40="Leve"),CONCATENATE("R5C",'Matriz riesgos de gestión'!$T$40),"")</f>
        <v/>
      </c>
      <c r="M50" s="161" t="str">
        <f>IF(AND('Matriz riesgos de gestión'!$AD$41="Muy Baja",'Matriz riesgos de gestión'!$AF$41="Leve"),CONCATENATE("R5C",'Matriz riesgos de gestión'!$T$41),"")</f>
        <v/>
      </c>
      <c r="N50" s="161" t="str">
        <f>IF(AND('Matriz riesgos de gestión'!$AD$42="Muy Baja",'Matriz riesgos de gestión'!$AF$42="Leve"),CONCATENATE("R5C",'Matriz riesgos de gestión'!$T$42),"")</f>
        <v/>
      </c>
      <c r="O50" s="162" t="str">
        <f>IF(AND('Matriz riesgos de gestión'!$AD$43="Muy Baja",'Matriz riesgos de gestión'!$AF$43="Leve"),CONCATENATE("R5C",'Matriz riesgos de gestión'!$T$43),"")</f>
        <v/>
      </c>
      <c r="P50" s="160" t="str">
        <f>IF(AND('Matriz riesgos de gestión'!$AD$38="Muy Baja",'Matriz riesgos de gestión'!$AF$38="Menor"),CONCATENATE("R5C",'Matriz riesgos de gestión'!$T$38),"")</f>
        <v/>
      </c>
      <c r="Q50" s="161" t="str">
        <f>IF(AND('Matriz riesgos de gestión'!$AD$39="Muy Baja",'Matriz riesgos de gestión'!$AF$39="Menor"),CONCATENATE("R5C",'Matriz riesgos de gestión'!$T$39),"")</f>
        <v/>
      </c>
      <c r="R50" s="161" t="str">
        <f>IF(AND('Matriz riesgos de gestión'!$AD$40="Muy Baja",'Matriz riesgos de gestión'!$AF$40="Menor"),CONCATENATE("R5C",'Matriz riesgos de gestión'!$T$40),"")</f>
        <v/>
      </c>
      <c r="S50" s="161" t="str">
        <f>IF(AND('Matriz riesgos de gestión'!$AD$41="Muy Baja",'Matriz riesgos de gestión'!$AF$41="Menor"),CONCATENATE("R5C",'Matriz riesgos de gestión'!$T$41),"")</f>
        <v/>
      </c>
      <c r="T50" s="161" t="str">
        <f>IF(AND('Matriz riesgos de gestión'!$AD$42="Muy Baja",'Matriz riesgos de gestión'!$AF$42="Menor"),CONCATENATE("R5C",'Matriz riesgos de gestión'!$T$42),"")</f>
        <v/>
      </c>
      <c r="U50" s="162" t="str">
        <f>IF(AND('Matriz riesgos de gestión'!$AD$43="Muy Baja",'Matriz riesgos de gestión'!$AF$43="Menor"),CONCATENATE("R5C",'Matriz riesgos de gestión'!$T$43),"")</f>
        <v/>
      </c>
      <c r="V50" s="154" t="str">
        <f>IF(AND('Matriz riesgos de gestión'!$AD$38="Muy Baja",'Matriz riesgos de gestión'!$AF$38="Moderado"),CONCATENATE("R5C",'Matriz riesgos de gestión'!$T$38),"")</f>
        <v/>
      </c>
      <c r="W50" s="155" t="str">
        <f>IF(AND('Matriz riesgos de gestión'!$AD$39="Muy Baja",'Matriz riesgos de gestión'!$AF$39="Moderado"),CONCATENATE("R5C",'Matriz riesgos de gestión'!$T$39),"")</f>
        <v/>
      </c>
      <c r="X50" s="155" t="str">
        <f>IF(AND('Matriz riesgos de gestión'!$AD$40="Muy Baja",'Matriz riesgos de gestión'!$AF$40="Moderado"),CONCATENATE("R5C",'Matriz riesgos de gestión'!$T$40),"")</f>
        <v>R5C1</v>
      </c>
      <c r="Y50" s="155" t="str">
        <f>IF(AND('Matriz riesgos de gestión'!$AD$41="Muy Baja",'Matriz riesgos de gestión'!$AF$41="Moderado"),CONCATENATE("R5C",'Matriz riesgos de gestión'!$T$41),"")</f>
        <v>R5C2</v>
      </c>
      <c r="Z50" s="155" t="str">
        <f>IF(AND('Matriz riesgos de gestión'!$AD$42="Muy Baja",'Matriz riesgos de gestión'!$AF$42="Moderado"),CONCATENATE("R5C",'Matriz riesgos de gestión'!$T$42),"")</f>
        <v>R5C1</v>
      </c>
      <c r="AA50" s="156" t="str">
        <f>IF(AND('Matriz riesgos de gestión'!$AD$43="Muy Baja",'Matriz riesgos de gestión'!$AF$43="Moderado"),CONCATENATE("R5C",'Matriz riesgos de gestión'!$T$43),"")</f>
        <v>R5C2</v>
      </c>
      <c r="AB50" s="142" t="str">
        <f>IF(AND('Matriz riesgos de gestión'!$AD$38="Muy Baja",'Matriz riesgos de gestión'!$AF$38="Mayor"),CONCATENATE("R5C",'Matriz riesgos de gestión'!$T$38),"")</f>
        <v/>
      </c>
      <c r="AC50" s="143" t="str">
        <f>IF(AND('Matriz riesgos de gestión'!$AD$39="Muy Baja",'Matriz riesgos de gestión'!$AF$39="Mayor"),CONCATENATE("R5C",'Matriz riesgos de gestión'!$T$39),"")</f>
        <v/>
      </c>
      <c r="AD50" s="143" t="str">
        <f>IF(AND('Matriz riesgos de gestión'!$AD$40="Muy Baja",'Matriz riesgos de gestión'!$AF$40="Mayor"),CONCATENATE("R5C",'Matriz riesgos de gestión'!$T$40),"")</f>
        <v/>
      </c>
      <c r="AE50" s="143" t="str">
        <f>IF(AND('Matriz riesgos de gestión'!$AD$41="Muy Baja",'Matriz riesgos de gestión'!$AF$41="Mayor"),CONCATENATE("R5C",'Matriz riesgos de gestión'!$T$41),"")</f>
        <v/>
      </c>
      <c r="AF50" s="143" t="str">
        <f>IF(AND('Matriz riesgos de gestión'!$AD$42="Muy Baja",'Matriz riesgos de gestión'!$AF$42="Mayor"),CONCATENATE("R5C",'Matriz riesgos de gestión'!$T$42),"")</f>
        <v/>
      </c>
      <c r="AG50" s="144" t="str">
        <f>IF(AND('Matriz riesgos de gestión'!$AD$43="Muy Baja",'Matriz riesgos de gestión'!$AF$43="Mayor"),CONCATENATE("R5C",'Matriz riesgos de gestión'!$T$43),"")</f>
        <v/>
      </c>
      <c r="AH50" s="145" t="str">
        <f>IF(AND('Matriz riesgos de gestión'!$AD$38="Muy Baja",'Matriz riesgos de gestión'!$AF$38="Catastrófico"),CONCATENATE("R5C",'Matriz riesgos de gestión'!$T$38),"")</f>
        <v/>
      </c>
      <c r="AI50" s="146" t="str">
        <f>IF(AND('Matriz riesgos de gestión'!$AD$39="Muy Baja",'Matriz riesgos de gestión'!$AF$39="Catastrófico"),CONCATENATE("R5C",'Matriz riesgos de gestión'!$T$39),"")</f>
        <v/>
      </c>
      <c r="AJ50" s="146" t="str">
        <f>IF(AND('Matriz riesgos de gestión'!$AD$40="Muy Baja",'Matriz riesgos de gestión'!$AF$40="Catastrófico"),CONCATENATE("R5C",'Matriz riesgos de gestión'!$T$40),"")</f>
        <v/>
      </c>
      <c r="AK50" s="146" t="str">
        <f>IF(AND('Matriz riesgos de gestión'!$AD$41="Muy Baja",'Matriz riesgos de gestión'!$AF$41="Catastrófico"),CONCATENATE("R5C",'Matriz riesgos de gestión'!$T$41),"")</f>
        <v/>
      </c>
      <c r="AL50" s="146" t="str">
        <f>IF(AND('Matriz riesgos de gestión'!$AD$42="Muy Baja",'Matriz riesgos de gestión'!$AF$42="Catastrófico"),CONCATENATE("R5C",'Matriz riesgos de gestión'!$T$42),"")</f>
        <v/>
      </c>
      <c r="AM50" s="147" t="str">
        <f>IF(AND('Matriz riesgos de gestión'!$AD$43="Muy Baja",'Matriz riesgos de gestión'!$AF$43="Catastrófico"),CONCATENATE("R5C",'Matriz riesgos de gestión'!$T$43),"")</f>
        <v/>
      </c>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row>
    <row r="51" spans="1:61" ht="15" customHeight="1" x14ac:dyDescent="0.25">
      <c r="A51" s="115"/>
      <c r="B51" s="654"/>
      <c r="C51" s="670"/>
      <c r="D51" s="653"/>
      <c r="E51" s="659"/>
      <c r="F51" s="670"/>
      <c r="G51" s="670"/>
      <c r="H51" s="670"/>
      <c r="I51" s="653"/>
      <c r="J51" s="160" t="str">
        <f>IF(AND('Matriz riesgos de gestión'!$AD$44="Muy Baja",'Matriz riesgos de gestión'!$AF$44="Leve"),CONCATENATE("R6C",'Matriz riesgos de gestión'!$T$44),"")</f>
        <v/>
      </c>
      <c r="K51" s="161" t="str">
        <f>IF(AND('Matriz riesgos de gestión'!$AD$45="Muy Baja",'Matriz riesgos de gestión'!$AF$45="Leve"),CONCATENATE("R6C",'Matriz riesgos de gestión'!$T$45),"")</f>
        <v/>
      </c>
      <c r="L51" s="161" t="str">
        <f>IF(AND('Matriz riesgos de gestión'!$AD$46="Muy Baja",'Matriz riesgos de gestión'!$AF$46="Leve"),CONCATENATE("R6C",'Matriz riesgos de gestión'!$T$46),"")</f>
        <v/>
      </c>
      <c r="M51" s="161" t="str">
        <f>IF(AND('Matriz riesgos de gestión'!$AD$47="Muy Baja",'Matriz riesgos de gestión'!$AF$47="Leve"),CONCATENATE("R6C",'Matriz riesgos de gestión'!$T$47),"")</f>
        <v/>
      </c>
      <c r="N51" s="161" t="str">
        <f>IF(AND('Matriz riesgos de gestión'!$AD$48="Muy Baja",'Matriz riesgos de gestión'!$AF$48="Leve"),CONCATENATE("R6C",'Matriz riesgos de gestión'!$T$48),"")</f>
        <v/>
      </c>
      <c r="O51" s="162" t="str">
        <f>IF(AND('Matriz riesgos de gestión'!$AD$49="Muy Baja",'Matriz riesgos de gestión'!$AF$49="Leve"),CONCATENATE("R6C",'Matriz riesgos de gestión'!$T$49),"")</f>
        <v/>
      </c>
      <c r="P51" s="160" t="str">
        <f>IF(AND('Matriz riesgos de gestión'!$AD$44="Muy Baja",'Matriz riesgos de gestión'!$AF$44="Menor"),CONCATENATE("R6C",'Matriz riesgos de gestión'!$T$44),"")</f>
        <v/>
      </c>
      <c r="Q51" s="161" t="str">
        <f>IF(AND('Matriz riesgos de gestión'!$AD$45="Muy Baja",'Matriz riesgos de gestión'!$AF$45="Menor"),CONCATENATE("R6C",'Matriz riesgos de gestión'!$T$45),"")</f>
        <v/>
      </c>
      <c r="R51" s="161" t="str">
        <f>IF(AND('Matriz riesgos de gestión'!$AD$46="Muy Baja",'Matriz riesgos de gestión'!$AF$46="Menor"),CONCATENATE("R6C",'Matriz riesgos de gestión'!$T$46),"")</f>
        <v/>
      </c>
      <c r="S51" s="161" t="str">
        <f>IF(AND('Matriz riesgos de gestión'!$AD$47="Muy Baja",'Matriz riesgos de gestión'!$AF$47="Menor"),CONCATENATE("R6C",'Matriz riesgos de gestión'!$T$47),"")</f>
        <v/>
      </c>
      <c r="T51" s="161" t="str">
        <f>IF(AND('Matriz riesgos de gestión'!$AD$48="Muy Baja",'Matriz riesgos de gestión'!$AF$48="Menor"),CONCATENATE("R6C",'Matriz riesgos de gestión'!$T$48),"")</f>
        <v/>
      </c>
      <c r="U51" s="162" t="str">
        <f>IF(AND('Matriz riesgos de gestión'!$AD$49="Muy Baja",'Matriz riesgos de gestión'!$AF$49="Menor"),CONCATENATE("R6C",'Matriz riesgos de gestión'!$T$49),"")</f>
        <v/>
      </c>
      <c r="V51" s="154" t="str">
        <f>IF(AND('Matriz riesgos de gestión'!$AD$44="Muy Baja",'Matriz riesgos de gestión'!$AF$44="Moderado"),CONCATENATE("R6C",'Matriz riesgos de gestión'!$T$44),"")</f>
        <v/>
      </c>
      <c r="W51" s="155" t="str">
        <f>IF(AND('Matriz riesgos de gestión'!$AD$45="Muy Baja",'Matriz riesgos de gestión'!$AF$45="Moderado"),CONCATENATE("R6C",'Matriz riesgos de gestión'!$T$45),"")</f>
        <v/>
      </c>
      <c r="X51" s="155" t="str">
        <f>IF(AND('Matriz riesgos de gestión'!$AD$46="Muy Baja",'Matriz riesgos de gestión'!$AF$46="Moderado"),CONCATENATE("R6C",'Matriz riesgos de gestión'!$T$46),"")</f>
        <v/>
      </c>
      <c r="Y51" s="155" t="str">
        <f>IF(AND('Matriz riesgos de gestión'!$AD$47="Muy Baja",'Matriz riesgos de gestión'!$AF$47="Moderado"),CONCATENATE("R6C",'Matriz riesgos de gestión'!$T$47),"")</f>
        <v>R6C1</v>
      </c>
      <c r="Z51" s="155" t="str">
        <f>IF(AND('Matriz riesgos de gestión'!$AD$48="Muy Baja",'Matriz riesgos de gestión'!$AF$48="Moderado"),CONCATENATE("R6C",'Matriz riesgos de gestión'!$T$48),"")</f>
        <v>R6C2</v>
      </c>
      <c r="AA51" s="156" t="str">
        <f>IF(AND('Matriz riesgos de gestión'!$AD$49="Muy Baja",'Matriz riesgos de gestión'!$AF$49="Moderado"),CONCATENATE("R6C",'Matriz riesgos de gestión'!$T$49),"")</f>
        <v>R6C1</v>
      </c>
      <c r="AB51" s="142" t="str">
        <f>IF(AND('Matriz riesgos de gestión'!$AD$44="Muy Baja",'Matriz riesgos de gestión'!$AF$44="Mayor"),CONCATENATE("R6C",'Matriz riesgos de gestión'!$T$44),"")</f>
        <v/>
      </c>
      <c r="AC51" s="143" t="str">
        <f>IF(AND('Matriz riesgos de gestión'!$AD$45="Muy Baja",'Matriz riesgos de gestión'!$AF$45="Mayor"),CONCATENATE("R6C",'Matriz riesgos de gestión'!$T$45),"")</f>
        <v/>
      </c>
      <c r="AD51" s="143" t="str">
        <f>IF(AND('Matriz riesgos de gestión'!$AD$46="Muy Baja",'Matriz riesgos de gestión'!$AF$46="Mayor"),CONCATENATE("R6C",'Matriz riesgos de gestión'!$T$46),"")</f>
        <v/>
      </c>
      <c r="AE51" s="143" t="str">
        <f>IF(AND('Matriz riesgos de gestión'!$AD$47="Muy Baja",'Matriz riesgos de gestión'!$AF$47="Mayor"),CONCATENATE("R6C",'Matriz riesgos de gestión'!$T$47),"")</f>
        <v/>
      </c>
      <c r="AF51" s="143" t="str">
        <f>IF(AND('Matriz riesgos de gestión'!$AD$48="Muy Baja",'Matriz riesgos de gestión'!$AF$48="Mayor"),CONCATENATE("R6C",'Matriz riesgos de gestión'!$T$48),"")</f>
        <v/>
      </c>
      <c r="AG51" s="144" t="str">
        <f>IF(AND('Matriz riesgos de gestión'!$AD$49="Muy Baja",'Matriz riesgos de gestión'!$AF$49="Mayor"),CONCATENATE("R6C",'Matriz riesgos de gestión'!$T$49),"")</f>
        <v/>
      </c>
      <c r="AH51" s="145" t="str">
        <f>IF(AND('Matriz riesgos de gestión'!$AD$44="Muy Baja",'Matriz riesgos de gestión'!$AF$44="Catastrófico"),CONCATENATE("R6C",'Matriz riesgos de gestión'!$T$44),"")</f>
        <v/>
      </c>
      <c r="AI51" s="146" t="str">
        <f>IF(AND('Matriz riesgos de gestión'!$AD$45="Muy Baja",'Matriz riesgos de gestión'!$AF$45="Catastrófico"),CONCATENATE("R6C",'Matriz riesgos de gestión'!$T$45),"")</f>
        <v/>
      </c>
      <c r="AJ51" s="146" t="str">
        <f>IF(AND('Matriz riesgos de gestión'!$AD$46="Muy Baja",'Matriz riesgos de gestión'!$AF$46="Catastrófico"),CONCATENATE("R6C",'Matriz riesgos de gestión'!$T$46),"")</f>
        <v/>
      </c>
      <c r="AK51" s="146" t="str">
        <f>IF(AND('Matriz riesgos de gestión'!$AD$47="Muy Baja",'Matriz riesgos de gestión'!$AF$47="Catastrófico"),CONCATENATE("R6C",'Matriz riesgos de gestión'!$T$47),"")</f>
        <v/>
      </c>
      <c r="AL51" s="146" t="str">
        <f>IF(AND('Matriz riesgos de gestión'!$AD$48="Muy Baja",'Matriz riesgos de gestión'!$AF$48="Catastrófico"),CONCATENATE("R6C",'Matriz riesgos de gestión'!$T$48),"")</f>
        <v/>
      </c>
      <c r="AM51" s="147" t="str">
        <f>IF(AND('Matriz riesgos de gestión'!$AD$49="Muy Baja",'Matriz riesgos de gestión'!$AF$49="Catastrófico"),CONCATENATE("R6C",'Matriz riesgos de gestión'!$T$49),"")</f>
        <v/>
      </c>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row>
    <row r="52" spans="1:61" ht="15" customHeight="1" x14ac:dyDescent="0.25">
      <c r="A52" s="115"/>
      <c r="B52" s="654"/>
      <c r="C52" s="670"/>
      <c r="D52" s="653"/>
      <c r="E52" s="659"/>
      <c r="F52" s="670"/>
      <c r="G52" s="670"/>
      <c r="H52" s="670"/>
      <c r="I52" s="653"/>
      <c r="J52" s="160" t="str">
        <f>IF(AND('Matriz riesgos de gestión'!$AD$50="Muy Baja",'Matriz riesgos de gestión'!$AF$50="Leve"),CONCATENATE("R7C",'Matriz riesgos de gestión'!$T$50),"")</f>
        <v/>
      </c>
      <c r="K52" s="161" t="str">
        <f>IF(AND('Matriz riesgos de gestión'!$AD$51="Muy Baja",'Matriz riesgos de gestión'!$AF$51="Leve"),CONCATENATE("R7C",'Matriz riesgos de gestión'!$T$51),"")</f>
        <v/>
      </c>
      <c r="L52" s="161" t="str">
        <f>IF(AND('Matriz riesgos de gestión'!$AD$52="Muy Baja",'Matriz riesgos de gestión'!$AF$52="Leve"),CONCATENATE("R7C",'Matriz riesgos de gestión'!$T$52),"")</f>
        <v/>
      </c>
      <c r="M52" s="161" t="str">
        <f>IF(AND('Matriz riesgos de gestión'!$AD$53="Muy Baja",'Matriz riesgos de gestión'!$AF$53="Leve"),CONCATENATE("R7C",'Matriz riesgos de gestión'!$T$53),"")</f>
        <v/>
      </c>
      <c r="N52" s="161" t="str">
        <f>IF(AND('Matriz riesgos de gestión'!$AD$54="Muy Baja",'Matriz riesgos de gestión'!$AF$54="Leve"),CONCATENATE("R7C",'Matriz riesgos de gestión'!$T$54),"")</f>
        <v/>
      </c>
      <c r="O52" s="162" t="str">
        <f>IF(AND('Matriz riesgos de gestión'!$AD$55="Muy Baja",'Matriz riesgos de gestión'!$AF$55="Leve"),CONCATENATE("R7C",'Matriz riesgos de gestión'!$T$55),"")</f>
        <v/>
      </c>
      <c r="P52" s="160" t="str">
        <f>IF(AND('Matriz riesgos de gestión'!$AD$50="Muy Baja",'Matriz riesgos de gestión'!$AF$50="Menor"),CONCATENATE("R7C",'Matriz riesgos de gestión'!$T$50),"")</f>
        <v/>
      </c>
      <c r="Q52" s="161" t="str">
        <f>IF(AND('Matriz riesgos de gestión'!$AD$51="Muy Baja",'Matriz riesgos de gestión'!$AF$51="Menor"),CONCATENATE("R7C",'Matriz riesgos de gestión'!$T$51),"")</f>
        <v/>
      </c>
      <c r="R52" s="161" t="str">
        <f>IF(AND('Matriz riesgos de gestión'!$AD$52="Muy Baja",'Matriz riesgos de gestión'!$AF$52="Menor"),CONCATENATE("R7C",'Matriz riesgos de gestión'!$T$52),"")</f>
        <v/>
      </c>
      <c r="S52" s="161" t="str">
        <f>IF(AND('Matriz riesgos de gestión'!$AD$53="Muy Baja",'Matriz riesgos de gestión'!$AF$53="Menor"),CONCATENATE("R7C",'Matriz riesgos de gestión'!$T$53),"")</f>
        <v/>
      </c>
      <c r="T52" s="161" t="str">
        <f>IF(AND('Matriz riesgos de gestión'!$AD$54="Muy Baja",'Matriz riesgos de gestión'!$AF$54="Menor"),CONCATENATE("R7C",'Matriz riesgos de gestión'!$T$54),"")</f>
        <v/>
      </c>
      <c r="U52" s="162" t="str">
        <f>IF(AND('Matriz riesgos de gestión'!$AD$55="Muy Baja",'Matriz riesgos de gestión'!$AF$55="Menor"),CONCATENATE("R7C",'Matriz riesgos de gestión'!$T$55),"")</f>
        <v/>
      </c>
      <c r="V52" s="154" t="str">
        <f>IF(AND('Matriz riesgos de gestión'!$AD$50="Muy Baja",'Matriz riesgos de gestión'!$AF$50="Moderado"),CONCATENATE("R7C",'Matriz riesgos de gestión'!$T$50),"")</f>
        <v/>
      </c>
      <c r="W52" s="155" t="str">
        <f>IF(AND('Matriz riesgos de gestión'!$AD$51="Muy Baja",'Matriz riesgos de gestión'!$AF$51="Moderado"),CONCATENATE("R7C",'Matriz riesgos de gestión'!$T$51),"")</f>
        <v/>
      </c>
      <c r="X52" s="155" t="str">
        <f>IF(AND('Matriz riesgos de gestión'!$AD$52="Muy Baja",'Matriz riesgos de gestión'!$AF$52="Moderado"),CONCATENATE("R7C",'Matriz riesgos de gestión'!$T$52),"")</f>
        <v>R7C1</v>
      </c>
      <c r="Y52" s="155" t="str">
        <f>IF(AND('Matriz riesgos de gestión'!$AD$53="Muy Baja",'Matriz riesgos de gestión'!$AF$53="Moderado"),CONCATENATE("R7C",'Matriz riesgos de gestión'!$T$53),"")</f>
        <v>R7C1</v>
      </c>
      <c r="Z52" s="155" t="str">
        <f>IF(AND('Matriz riesgos de gestión'!$AD$54="Muy Baja",'Matriz riesgos de gestión'!$AF$54="Moderado"),CONCATENATE("R7C",'Matriz riesgos de gestión'!$T$54),"")</f>
        <v>R7C1</v>
      </c>
      <c r="AA52" s="156" t="str">
        <f>IF(AND('Matriz riesgos de gestión'!$AD$55="Muy Baja",'Matriz riesgos de gestión'!$AF$55="Moderado"),CONCATENATE("R7C",'Matriz riesgos de gestión'!$T$55),"")</f>
        <v>R7C1</v>
      </c>
      <c r="AB52" s="142" t="str">
        <f>IF(AND('Matriz riesgos de gestión'!$AD$50="Muy Baja",'Matriz riesgos de gestión'!$AF$50="Mayor"),CONCATENATE("R7C",'Matriz riesgos de gestión'!$T$50),"")</f>
        <v/>
      </c>
      <c r="AC52" s="143" t="str">
        <f>IF(AND('Matriz riesgos de gestión'!$AD$51="Muy Baja",'Matriz riesgos de gestión'!$AF$51="Mayor"),CONCATENATE("R7C",'Matriz riesgos de gestión'!$T$51),"")</f>
        <v/>
      </c>
      <c r="AD52" s="143" t="str">
        <f>IF(AND('Matriz riesgos de gestión'!$AD$52="Muy Baja",'Matriz riesgos de gestión'!$AF$52="Mayor"),CONCATENATE("R7C",'Matriz riesgos de gestión'!$T$52),"")</f>
        <v/>
      </c>
      <c r="AE52" s="143" t="str">
        <f>IF(AND('Matriz riesgos de gestión'!$AD$53="Muy Baja",'Matriz riesgos de gestión'!$AF$53="Mayor"),CONCATENATE("R7C",'Matriz riesgos de gestión'!$T$53),"")</f>
        <v/>
      </c>
      <c r="AF52" s="143" t="str">
        <f>IF(AND('Matriz riesgos de gestión'!$AD$54="Muy Baja",'Matriz riesgos de gestión'!$AF$54="Mayor"),CONCATENATE("R7C",'Matriz riesgos de gestión'!$T$54),"")</f>
        <v/>
      </c>
      <c r="AG52" s="144" t="str">
        <f>IF(AND('Matriz riesgos de gestión'!$AD$55="Muy Baja",'Matriz riesgos de gestión'!$AF$55="Mayor"),CONCATENATE("R7C",'Matriz riesgos de gestión'!$T$55),"")</f>
        <v/>
      </c>
      <c r="AH52" s="145" t="str">
        <f>IF(AND('Matriz riesgos de gestión'!$AD$50="Muy Baja",'Matriz riesgos de gestión'!$AF$50="Catastrófico"),CONCATENATE("R7C",'Matriz riesgos de gestión'!$T$50),"")</f>
        <v/>
      </c>
      <c r="AI52" s="146" t="str">
        <f>IF(AND('Matriz riesgos de gestión'!$AD$51="Muy Baja",'Matriz riesgos de gestión'!$AF$51="Catastrófico"),CONCATENATE("R7C",'Matriz riesgos de gestión'!$T$51),"")</f>
        <v/>
      </c>
      <c r="AJ52" s="146" t="str">
        <f>IF(AND('Matriz riesgos de gestión'!$AD$52="Muy Baja",'Matriz riesgos de gestión'!$AF$52="Catastrófico"),CONCATENATE("R7C",'Matriz riesgos de gestión'!$T$52),"")</f>
        <v/>
      </c>
      <c r="AK52" s="146" t="str">
        <f>IF(AND('Matriz riesgos de gestión'!$AD$53="Muy Baja",'Matriz riesgos de gestión'!$AF$53="Catastrófico"),CONCATENATE("R7C",'Matriz riesgos de gestión'!$T$53),"")</f>
        <v/>
      </c>
      <c r="AL52" s="146" t="str">
        <f>IF(AND('Matriz riesgos de gestión'!$AD$54="Muy Baja",'Matriz riesgos de gestión'!$AF$54="Catastrófico"),CONCATENATE("R7C",'Matriz riesgos de gestión'!$T$54),"")</f>
        <v/>
      </c>
      <c r="AM52" s="147" t="str">
        <f>IF(AND('Matriz riesgos de gestión'!$AD$55="Muy Baja",'Matriz riesgos de gestión'!$AF$55="Catastrófico"),CONCATENATE("R7C",'Matriz riesgos de gestión'!$T$55),"")</f>
        <v/>
      </c>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row>
    <row r="53" spans="1:61" ht="15" customHeight="1" x14ac:dyDescent="0.25">
      <c r="A53" s="115"/>
      <c r="B53" s="654"/>
      <c r="C53" s="670"/>
      <c r="D53" s="653"/>
      <c r="E53" s="659"/>
      <c r="F53" s="670"/>
      <c r="G53" s="670"/>
      <c r="H53" s="670"/>
      <c r="I53" s="653"/>
      <c r="J53" s="160" t="str">
        <f>IF(AND('Matriz riesgos de gestión'!$AD$56="Muy Baja",'Matriz riesgos de gestión'!$AF$56="Leve"),CONCATENATE("R8C",'Matriz riesgos de gestión'!$T$56),"")</f>
        <v/>
      </c>
      <c r="K53" s="161" t="str">
        <f>IF(AND('Matriz riesgos de gestión'!$AD$57="Muy Baja",'Matriz riesgos de gestión'!$AF$57="Leve"),CONCATENATE("R8C",'Matriz riesgos de gestión'!$T$57),"")</f>
        <v/>
      </c>
      <c r="L53" s="161" t="str">
        <f>IF(AND('Matriz riesgos de gestión'!$AD$58="Muy Baja",'Matriz riesgos de gestión'!$AF$58="Leve"),CONCATENATE("R8C",'Matriz riesgos de gestión'!$T$58),"")</f>
        <v/>
      </c>
      <c r="M53" s="161" t="str">
        <f>IF(AND('Matriz riesgos de gestión'!$AD$59="Muy Baja",'Matriz riesgos de gestión'!$AF$59="Leve"),CONCATENATE("R8C",'Matriz riesgos de gestión'!$T$59),"")</f>
        <v/>
      </c>
      <c r="N53" s="161" t="str">
        <f>IF(AND('Matriz riesgos de gestión'!$AD$60="Muy Baja",'Matriz riesgos de gestión'!$AF$60="Leve"),CONCATENATE("R8C",'Matriz riesgos de gestión'!$T$60),"")</f>
        <v/>
      </c>
      <c r="O53" s="162" t="str">
        <f>IF(AND('Matriz riesgos de gestión'!$AD$61="Muy Baja",'Matriz riesgos de gestión'!$AF$61="Leve"),CONCATENATE("R8C",'Matriz riesgos de gestión'!$T$61),"")</f>
        <v/>
      </c>
      <c r="P53" s="160" t="str">
        <f>IF(AND('Matriz riesgos de gestión'!$AD$56="Muy Baja",'Matriz riesgos de gestión'!$AF$56="Menor"),CONCATENATE("R8C",'Matriz riesgos de gestión'!$T$56),"")</f>
        <v/>
      </c>
      <c r="Q53" s="161" t="str">
        <f>IF(AND('Matriz riesgos de gestión'!$AD$57="Muy Baja",'Matriz riesgos de gestión'!$AF$57="Menor"),CONCATENATE("R8C",'Matriz riesgos de gestión'!$T$57),"")</f>
        <v/>
      </c>
      <c r="R53" s="161" t="str">
        <f>IF(AND('Matriz riesgos de gestión'!$AD$58="Muy Baja",'Matriz riesgos de gestión'!$AF$58="Menor"),CONCATENATE("R8C",'Matriz riesgos de gestión'!$T$58),"")</f>
        <v/>
      </c>
      <c r="S53" s="161" t="str">
        <f>IF(AND('Matriz riesgos de gestión'!$AD$59="Muy Baja",'Matriz riesgos de gestión'!$AF$59="Menor"),CONCATENATE("R8C",'Matriz riesgos de gestión'!$T$59),"")</f>
        <v/>
      </c>
      <c r="T53" s="161" t="str">
        <f>IF(AND('Matriz riesgos de gestión'!$AD$60="Muy Baja",'Matriz riesgos de gestión'!$AF$60="Menor"),CONCATENATE("R8C",'Matriz riesgos de gestión'!$T$60),"")</f>
        <v/>
      </c>
      <c r="U53" s="162" t="str">
        <f>IF(AND('Matriz riesgos de gestión'!$AD$61="Muy Baja",'Matriz riesgos de gestión'!$AF$61="Menor"),CONCATENATE("R8C",'Matriz riesgos de gestión'!$T$61),"")</f>
        <v/>
      </c>
      <c r="V53" s="154" t="str">
        <f>IF(AND('Matriz riesgos de gestión'!$AD$56="Muy Baja",'Matriz riesgos de gestión'!$AF$56="Moderado"),CONCATENATE("R8C",'Matriz riesgos de gestión'!$T$56),"")</f>
        <v/>
      </c>
      <c r="W53" s="155" t="str">
        <f>IF(AND('Matriz riesgos de gestión'!$AD$57="Muy Baja",'Matriz riesgos de gestión'!$AF$57="Moderado"),CONCATENATE("R8C",'Matriz riesgos de gestión'!$T$57),"")</f>
        <v/>
      </c>
      <c r="X53" s="155" t="str">
        <f>IF(AND('Matriz riesgos de gestión'!$AD$58="Muy Baja",'Matriz riesgos de gestión'!$AF$58="Moderado"),CONCATENATE("R8C",'Matriz riesgos de gestión'!$T$58),"")</f>
        <v/>
      </c>
      <c r="Y53" s="155" t="str">
        <f>IF(AND('Matriz riesgos de gestión'!$AD$59="Muy Baja",'Matriz riesgos de gestión'!$AF$59="Moderado"),CONCATENATE("R8C",'Matriz riesgos de gestión'!$T$59),"")</f>
        <v>R8C1</v>
      </c>
      <c r="Z53" s="155" t="str">
        <f>IF(AND('Matriz riesgos de gestión'!$AD$60="Muy Baja",'Matriz riesgos de gestión'!$AF$60="Moderado"),CONCATENATE("R8C",'Matriz riesgos de gestión'!$T$60),"")</f>
        <v>R8C2</v>
      </c>
      <c r="AA53" s="156" t="str">
        <f>IF(AND('Matriz riesgos de gestión'!$AD$61="Muy Baja",'Matriz riesgos de gestión'!$AF$61="Moderado"),CONCATENATE("R8C",'Matriz riesgos de gestión'!$T$61),"")</f>
        <v>R8C3</v>
      </c>
      <c r="AB53" s="142" t="str">
        <f>IF(AND('Matriz riesgos de gestión'!$AD$56="Muy Baja",'Matriz riesgos de gestión'!$AF$56="Mayor"),CONCATENATE("R8C",'Matriz riesgos de gestión'!$T$56),"")</f>
        <v/>
      </c>
      <c r="AC53" s="143" t="str">
        <f>IF(AND('Matriz riesgos de gestión'!$AD$57="Muy Baja",'Matriz riesgos de gestión'!$AF$57="Mayor"),CONCATENATE("R8C",'Matriz riesgos de gestión'!$T$57),"")</f>
        <v/>
      </c>
      <c r="AD53" s="143" t="str">
        <f>IF(AND('Matriz riesgos de gestión'!$AD$58="Muy Baja",'Matriz riesgos de gestión'!$AF$58="Mayor"),CONCATENATE("R8C",'Matriz riesgos de gestión'!$T$58),"")</f>
        <v/>
      </c>
      <c r="AE53" s="143" t="str">
        <f>IF(AND('Matriz riesgos de gestión'!$AD$59="Muy Baja",'Matriz riesgos de gestión'!$AF$59="Mayor"),CONCATENATE("R8C",'Matriz riesgos de gestión'!$T$59),"")</f>
        <v/>
      </c>
      <c r="AF53" s="143" t="str">
        <f>IF(AND('Matriz riesgos de gestión'!$AD$60="Muy Baja",'Matriz riesgos de gestión'!$AF$60="Mayor"),CONCATENATE("R8C",'Matriz riesgos de gestión'!$T$60),"")</f>
        <v/>
      </c>
      <c r="AG53" s="144" t="str">
        <f>IF(AND('Matriz riesgos de gestión'!$AD$61="Muy Baja",'Matriz riesgos de gestión'!$AF$61="Mayor"),CONCATENATE("R8C",'Matriz riesgos de gestión'!$T$61),"")</f>
        <v/>
      </c>
      <c r="AH53" s="145" t="str">
        <f>IF(AND('Matriz riesgos de gestión'!$AD$56="Muy Baja",'Matriz riesgos de gestión'!$AF$56="Catastrófico"),CONCATENATE("R8C",'Matriz riesgos de gestión'!$T$56),"")</f>
        <v/>
      </c>
      <c r="AI53" s="146" t="str">
        <f>IF(AND('Matriz riesgos de gestión'!$AD$57="Muy Baja",'Matriz riesgos de gestión'!$AF$57="Catastrófico"),CONCATENATE("R8C",'Matriz riesgos de gestión'!$T$57),"")</f>
        <v/>
      </c>
      <c r="AJ53" s="146" t="str">
        <f>IF(AND('Matriz riesgos de gestión'!$AD$58="Muy Baja",'Matriz riesgos de gestión'!$AF$58="Catastrófico"),CONCATENATE("R8C",'Matriz riesgos de gestión'!$T$58),"")</f>
        <v/>
      </c>
      <c r="AK53" s="146" t="str">
        <f>IF(AND('Matriz riesgos de gestión'!$AD$59="Muy Baja",'Matriz riesgos de gestión'!$AF$59="Catastrófico"),CONCATENATE("R8C",'Matriz riesgos de gestión'!$T$59),"")</f>
        <v/>
      </c>
      <c r="AL53" s="146" t="str">
        <f>IF(AND('Matriz riesgos de gestión'!$AD$60="Muy Baja",'Matriz riesgos de gestión'!$AF$60="Catastrófico"),CONCATENATE("R8C",'Matriz riesgos de gestión'!$T$60),"")</f>
        <v/>
      </c>
      <c r="AM53" s="147" t="str">
        <f>IF(AND('Matriz riesgos de gestión'!$AD$61="Muy Baja",'Matriz riesgos de gestión'!$AF$61="Catastrófico"),CONCATENATE("R8C",'Matriz riesgos de gestión'!$T$61),"")</f>
        <v/>
      </c>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row>
    <row r="54" spans="1:61" ht="15" customHeight="1" x14ac:dyDescent="0.25">
      <c r="A54" s="115"/>
      <c r="B54" s="654"/>
      <c r="C54" s="670"/>
      <c r="D54" s="653"/>
      <c r="E54" s="659"/>
      <c r="F54" s="670"/>
      <c r="G54" s="670"/>
      <c r="H54" s="670"/>
      <c r="I54" s="653"/>
      <c r="J54" s="160" t="str">
        <f>IF(AND('Matriz riesgos de gestión'!$AD$62="Muy Baja",'Matriz riesgos de gestión'!$AF$62="Leve"),CONCATENATE("R9C",'Matriz riesgos de gestión'!$T$62),"")</f>
        <v/>
      </c>
      <c r="K54" s="161" t="str">
        <f>IF(AND('Matriz riesgos de gestión'!$AD$63="Muy Baja",'Matriz riesgos de gestión'!$AF$63="Leve"),CONCATENATE("R9C",'Matriz riesgos de gestión'!$T$63),"")</f>
        <v/>
      </c>
      <c r="L54" s="161" t="str">
        <f>IF(AND('Matriz riesgos de gestión'!$AD$64="Muy Baja",'Matriz riesgos de gestión'!$AF$64="Leve"),CONCATENATE("R9C",'Matriz riesgos de gestión'!$T$64),"")</f>
        <v/>
      </c>
      <c r="M54" s="161" t="str">
        <f>IF(AND('Matriz riesgos de gestión'!$AD$65="Muy Baja",'Matriz riesgos de gestión'!$AF$65="Leve"),CONCATENATE("R9C",'Matriz riesgos de gestión'!$T$65),"")</f>
        <v/>
      </c>
      <c r="N54" s="161" t="str">
        <f>IF(AND('Matriz riesgos de gestión'!$AD$66="Muy Baja",'Matriz riesgos de gestión'!$AF$66="Leve"),CONCATENATE("R9C",'Matriz riesgos de gestión'!$T$66),"")</f>
        <v/>
      </c>
      <c r="O54" s="162" t="str">
        <f>IF(AND('Matriz riesgos de gestión'!$AD$67="Muy Baja",'Matriz riesgos de gestión'!$AF$67="Leve"),CONCATENATE("R9C",'Matriz riesgos de gestión'!$T$67),"")</f>
        <v/>
      </c>
      <c r="P54" s="160" t="str">
        <f>IF(AND('Matriz riesgos de gestión'!$AD$62="Muy Baja",'Matriz riesgos de gestión'!$AF$62="Menor"),CONCATENATE("R9C",'Matriz riesgos de gestión'!$T$62),"")</f>
        <v/>
      </c>
      <c r="Q54" s="161" t="str">
        <f>IF(AND('Matriz riesgos de gestión'!$AD$63="Muy Baja",'Matriz riesgos de gestión'!$AF$63="Menor"),CONCATENATE("R9C",'Matriz riesgos de gestión'!$T$63),"")</f>
        <v/>
      </c>
      <c r="R54" s="161" t="str">
        <f>IF(AND('Matriz riesgos de gestión'!$AD$64="Muy Baja",'Matriz riesgos de gestión'!$AF$64="Menor"),CONCATENATE("R9C",'Matriz riesgos de gestión'!$T$64),"")</f>
        <v/>
      </c>
      <c r="S54" s="161" t="str">
        <f>IF(AND('Matriz riesgos de gestión'!$AD$65="Muy Baja",'Matriz riesgos de gestión'!$AF$65="Menor"),CONCATENATE("R9C",'Matriz riesgos de gestión'!$T$65),"")</f>
        <v/>
      </c>
      <c r="T54" s="161" t="str">
        <f>IF(AND('Matriz riesgos de gestión'!$AD$66="Muy Baja",'Matriz riesgos de gestión'!$AF$66="Menor"),CONCATENATE("R9C",'Matriz riesgos de gestión'!$T$66),"")</f>
        <v/>
      </c>
      <c r="U54" s="162" t="str">
        <f>IF(AND('Matriz riesgos de gestión'!$AD$67="Muy Baja",'Matriz riesgos de gestión'!$AF$67="Menor"),CONCATENATE("R9C",'Matriz riesgos de gestión'!$T$67),"")</f>
        <v/>
      </c>
      <c r="V54" s="154" t="str">
        <f>IF(AND('Matriz riesgos de gestión'!$AD$62="Muy Baja",'Matriz riesgos de gestión'!$AF$62="Moderado"),CONCATENATE("R9C",'Matriz riesgos de gestión'!$T$62),"")</f>
        <v/>
      </c>
      <c r="W54" s="155" t="str">
        <f>IF(AND('Matriz riesgos de gestión'!$AD$63="Muy Baja",'Matriz riesgos de gestión'!$AF$63="Moderado"),CONCATENATE("R9C",'Matriz riesgos de gestión'!$T$63),"")</f>
        <v/>
      </c>
      <c r="X54" s="155" t="str">
        <f>IF(AND('Matriz riesgos de gestión'!$AD$64="Muy Baja",'Matriz riesgos de gestión'!$AF$64="Moderado"),CONCATENATE("R9C",'Matriz riesgos de gestión'!$T$64),"")</f>
        <v>R9C3</v>
      </c>
      <c r="Y54" s="155" t="str">
        <f>IF(AND('Matriz riesgos de gestión'!$AD$65="Muy Baja",'Matriz riesgos de gestión'!$AF$65="Moderado"),CONCATENATE("R9C",'Matriz riesgos de gestión'!$T$65),"")</f>
        <v>R9C1</v>
      </c>
      <c r="Z54" s="155" t="str">
        <f>IF(AND('Matriz riesgos de gestión'!$AD$66="Muy Baja",'Matriz riesgos de gestión'!$AF$66="Moderado"),CONCATENATE("R9C",'Matriz riesgos de gestión'!$T$66),"")</f>
        <v>R9C2</v>
      </c>
      <c r="AA54" s="156" t="str">
        <f>IF(AND('Matriz riesgos de gestión'!$AD$67="Muy Baja",'Matriz riesgos de gestión'!$AF$67="Moderado"),CONCATENATE("R9C",'Matriz riesgos de gestión'!$T$67),"")</f>
        <v>R9C3</v>
      </c>
      <c r="AB54" s="142" t="str">
        <f>IF(AND('Matriz riesgos de gestión'!$AD$62="Muy Baja",'Matriz riesgos de gestión'!$AF$62="Mayor"),CONCATENATE("R9C",'Matriz riesgos de gestión'!$T$62),"")</f>
        <v/>
      </c>
      <c r="AC54" s="143" t="str">
        <f>IF(AND('Matriz riesgos de gestión'!$AD$63="Muy Baja",'Matriz riesgos de gestión'!$AF$63="Mayor"),CONCATENATE("R9C",'Matriz riesgos de gestión'!$T$63),"")</f>
        <v/>
      </c>
      <c r="AD54" s="143" t="str">
        <f>IF(AND('Matriz riesgos de gestión'!$AD$64="Muy Baja",'Matriz riesgos de gestión'!$AF$64="Mayor"),CONCATENATE("R9C",'Matriz riesgos de gestión'!$T$64),"")</f>
        <v/>
      </c>
      <c r="AE54" s="143" t="str">
        <f>IF(AND('Matriz riesgos de gestión'!$AD$65="Muy Baja",'Matriz riesgos de gestión'!$AF$65="Mayor"),CONCATENATE("R9C",'Matriz riesgos de gestión'!$T$65),"")</f>
        <v/>
      </c>
      <c r="AF54" s="143" t="str">
        <f>IF(AND('Matriz riesgos de gestión'!$AD$66="Muy Baja",'Matriz riesgos de gestión'!$AF$66="Mayor"),CONCATENATE("R9C",'Matriz riesgos de gestión'!$T$66),"")</f>
        <v/>
      </c>
      <c r="AG54" s="144" t="str">
        <f>IF(AND('Matriz riesgos de gestión'!$AD$67="Muy Baja",'Matriz riesgos de gestión'!$AF$67="Mayor"),CONCATENATE("R9C",'Matriz riesgos de gestión'!$T$67),"")</f>
        <v/>
      </c>
      <c r="AH54" s="145" t="str">
        <f>IF(AND('Matriz riesgos de gestión'!$AD$62="Muy Baja",'Matriz riesgos de gestión'!$AF$62="Catastrófico"),CONCATENATE("R9C",'Matriz riesgos de gestión'!$T$62),"")</f>
        <v/>
      </c>
      <c r="AI54" s="146" t="str">
        <f>IF(AND('Matriz riesgos de gestión'!$AD$63="Muy Baja",'Matriz riesgos de gestión'!$AF$63="Catastrófico"),CONCATENATE("R9C",'Matriz riesgos de gestión'!$T$63),"")</f>
        <v/>
      </c>
      <c r="AJ54" s="146" t="str">
        <f>IF(AND('Matriz riesgos de gestión'!$AD$64="Muy Baja",'Matriz riesgos de gestión'!$AF$64="Catastrófico"),CONCATENATE("R9C",'Matriz riesgos de gestión'!$T$64),"")</f>
        <v/>
      </c>
      <c r="AK54" s="146" t="str">
        <f>IF(AND('Matriz riesgos de gestión'!$AD$65="Muy Baja",'Matriz riesgos de gestión'!$AF$65="Catastrófico"),CONCATENATE("R9C",'Matriz riesgos de gestión'!$T$65),"")</f>
        <v/>
      </c>
      <c r="AL54" s="146" t="str">
        <f>IF(AND('Matriz riesgos de gestión'!$AD$66="Muy Baja",'Matriz riesgos de gestión'!$AF$66="Catastrófico"),CONCATENATE("R9C",'Matriz riesgos de gestión'!$T$66),"")</f>
        <v/>
      </c>
      <c r="AM54" s="147" t="str">
        <f>IF(AND('Matriz riesgos de gestión'!$AD$67="Muy Baja",'Matriz riesgos de gestión'!$AF$67="Catastrófico"),CONCATENATE("R9C",'Matriz riesgos de gestión'!$T$67),"")</f>
        <v/>
      </c>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row>
    <row r="55" spans="1:61" ht="15.75" customHeight="1" x14ac:dyDescent="0.25">
      <c r="A55" s="115"/>
      <c r="B55" s="654"/>
      <c r="C55" s="654"/>
      <c r="D55" s="653"/>
      <c r="E55" s="671"/>
      <c r="F55" s="672"/>
      <c r="G55" s="672"/>
      <c r="H55" s="672"/>
      <c r="I55" s="673"/>
      <c r="J55" s="163" t="str">
        <f>IF(AND('Matriz riesgos de gestión'!$AD$68="Muy Baja",'Matriz riesgos de gestión'!$AF$68="Leve"),CONCATENATE("R10C",'Matriz riesgos de gestión'!$T$68),"")</f>
        <v/>
      </c>
      <c r="K55" s="164" t="str">
        <f>IF(AND('Matriz riesgos de gestión'!$AD$69="Muy Baja",'Matriz riesgos de gestión'!$AF$69="Leve"),CONCATENATE("R10C",'Matriz riesgos de gestión'!$T$69),"")</f>
        <v/>
      </c>
      <c r="L55" s="164" t="str">
        <f>IF(AND('Matriz riesgos de gestión'!$AD$70="Muy Baja",'Matriz riesgos de gestión'!$AF$70="Leve"),CONCATENATE("R10C",'Matriz riesgos de gestión'!$T$70),"")</f>
        <v/>
      </c>
      <c r="M55" s="164" t="str">
        <f>IF(AND('Matriz riesgos de gestión'!$AD$71="Muy Baja",'Matriz riesgos de gestión'!$AF$71="Leve"),CONCATENATE("R10C",'Matriz riesgos de gestión'!$T$71),"")</f>
        <v/>
      </c>
      <c r="N55" s="164" t="str">
        <f>IF(AND('Matriz riesgos de gestión'!$AD$72="Muy Baja",'Matriz riesgos de gestión'!$AF$72="Leve"),CONCATENATE("R10C",'Matriz riesgos de gestión'!$T$72),"")</f>
        <v/>
      </c>
      <c r="O55" s="165" t="str">
        <f>IF(AND('Matriz riesgos de gestión'!$AD$73="Muy Baja",'Matriz riesgos de gestión'!$AF$73="Leve"),CONCATENATE("R10C",'Matriz riesgos de gestión'!$T$73),"")</f>
        <v/>
      </c>
      <c r="P55" s="163" t="str">
        <f>IF(AND('Matriz riesgos de gestión'!$AD$68="Muy Baja",'Matriz riesgos de gestión'!$AF$68="Menor"),CONCATENATE("R10C",'Matriz riesgos de gestión'!$T$68),"")</f>
        <v/>
      </c>
      <c r="Q55" s="164" t="str">
        <f>IF(AND('Matriz riesgos de gestión'!$AD$69="Muy Baja",'Matriz riesgos de gestión'!$AF$69="Menor"),CONCATENATE("R10C",'Matriz riesgos de gestión'!$T$69),"")</f>
        <v/>
      </c>
      <c r="R55" s="164" t="str">
        <f>IF(AND('Matriz riesgos de gestión'!$AD$70="Muy Baja",'Matriz riesgos de gestión'!$AF$70="Menor"),CONCATENATE("R10C",'Matriz riesgos de gestión'!$T$70),"")</f>
        <v/>
      </c>
      <c r="S55" s="164" t="str">
        <f>IF(AND('Matriz riesgos de gestión'!$AD$71="Muy Baja",'Matriz riesgos de gestión'!$AF$71="Menor"),CONCATENATE("R10C",'Matriz riesgos de gestión'!$T$71),"")</f>
        <v/>
      </c>
      <c r="T55" s="164" t="str">
        <f>IF(AND('Matriz riesgos de gestión'!$AD$72="Muy Baja",'Matriz riesgos de gestión'!$AF$72="Menor"),CONCATENATE("R10C",'Matriz riesgos de gestión'!$T$72),"")</f>
        <v/>
      </c>
      <c r="U55" s="165" t="str">
        <f>IF(AND('Matriz riesgos de gestión'!$AD$73="Muy Baja",'Matriz riesgos de gestión'!$AF$73="Menor"),CONCATENATE("R10C",'Matriz riesgos de gestión'!$T$73),"")</f>
        <v/>
      </c>
      <c r="V55" s="157" t="str">
        <f>IF(AND('Matriz riesgos de gestión'!$AD$68="Muy Baja",'Matriz riesgos de gestión'!$AF$68="Moderado"),CONCATENATE("R10C",'Matriz riesgos de gestión'!$T$68),"")</f>
        <v/>
      </c>
      <c r="W55" s="158" t="str">
        <f>IF(AND('Matriz riesgos de gestión'!$AD$69="Muy Baja",'Matriz riesgos de gestión'!$AF$69="Moderado"),CONCATENATE("R10C",'Matriz riesgos de gestión'!$T$69),"")</f>
        <v>R10C5</v>
      </c>
      <c r="X55" s="158" t="str">
        <f>IF(AND('Matriz riesgos de gestión'!$AD$70="Muy Baja",'Matriz riesgos de gestión'!$AF$70="Moderado"),CONCATENATE("R10C",'Matriz riesgos de gestión'!$T$70),"")</f>
        <v>R10C1</v>
      </c>
      <c r="Y55" s="158" t="str">
        <f>IF(AND('Matriz riesgos de gestión'!$AD$71="Muy Baja",'Matriz riesgos de gestión'!$AF$71="Moderado"),CONCATENATE("R10C",'Matriz riesgos de gestión'!$T$71),"")</f>
        <v>R10C2</v>
      </c>
      <c r="Z55" s="158" t="str">
        <f>IF(AND('Matriz riesgos de gestión'!$AD$72="Muy Baja",'Matriz riesgos de gestión'!$AF$72="Moderado"),CONCATENATE("R10C",'Matriz riesgos de gestión'!$T$72),"")</f>
        <v>R10C3</v>
      </c>
      <c r="AA55" s="159" t="str">
        <f>IF(AND('Matriz riesgos de gestión'!$AD$73="Muy Baja",'Matriz riesgos de gestión'!$AF$73="Moderado"),CONCATENATE("R10C",'Matriz riesgos de gestión'!$T$73),"")</f>
        <v>R10C1</v>
      </c>
      <c r="AB55" s="148" t="str">
        <f>IF(AND('Matriz riesgos de gestión'!$AD$68="Muy Baja",'Matriz riesgos de gestión'!$AF$68="Mayor"),CONCATENATE("R10C",'Matriz riesgos de gestión'!$T$68),"")</f>
        <v/>
      </c>
      <c r="AC55" s="149" t="str">
        <f>IF(AND('Matriz riesgos de gestión'!$AD$69="Muy Baja",'Matriz riesgos de gestión'!$AF$69="Mayor"),CONCATENATE("R10C",'Matriz riesgos de gestión'!$T$69),"")</f>
        <v/>
      </c>
      <c r="AD55" s="149" t="str">
        <f>IF(AND('Matriz riesgos de gestión'!$AD$70="Muy Baja",'Matriz riesgos de gestión'!$AF$70="Mayor"),CONCATENATE("R10C",'Matriz riesgos de gestión'!$T$70),"")</f>
        <v/>
      </c>
      <c r="AE55" s="149" t="str">
        <f>IF(AND('Matriz riesgos de gestión'!$AD$71="Muy Baja",'Matriz riesgos de gestión'!$AF$71="Mayor"),CONCATENATE("R10C",'Matriz riesgos de gestión'!$T$71),"")</f>
        <v/>
      </c>
      <c r="AF55" s="149" t="str">
        <f>IF(AND('Matriz riesgos de gestión'!$AD$72="Muy Baja",'Matriz riesgos de gestión'!$AF$72="Mayor"),CONCATENATE("R10C",'Matriz riesgos de gestión'!$T$72),"")</f>
        <v/>
      </c>
      <c r="AG55" s="150" t="str">
        <f>IF(AND('Matriz riesgos de gestión'!$AD$73="Muy Baja",'Matriz riesgos de gestión'!$AF$73="Mayor"),CONCATENATE("R10C",'Matriz riesgos de gestión'!$T$73),"")</f>
        <v/>
      </c>
      <c r="AH55" s="151" t="str">
        <f>IF(AND('Matriz riesgos de gestión'!$AD$68="Muy Baja",'Matriz riesgos de gestión'!$AF$68="Catastrófico"),CONCATENATE("R10C",'Matriz riesgos de gestión'!$T$68),"")</f>
        <v/>
      </c>
      <c r="AI55" s="152" t="str">
        <f>IF(AND('Matriz riesgos de gestión'!$AD$69="Muy Baja",'Matriz riesgos de gestión'!$AF$69="Catastrófico"),CONCATENATE("R10C",'Matriz riesgos de gestión'!$T$69),"")</f>
        <v/>
      </c>
      <c r="AJ55" s="152" t="str">
        <f>IF(AND('Matriz riesgos de gestión'!$AD$70="Muy Baja",'Matriz riesgos de gestión'!$AF$70="Catastrófico"),CONCATENATE("R10C",'Matriz riesgos de gestión'!$T$70),"")</f>
        <v/>
      </c>
      <c r="AK55" s="152" t="str">
        <f>IF(AND('Matriz riesgos de gestión'!$AD$71="Muy Baja",'Matriz riesgos de gestión'!$AF$71="Catastrófico"),CONCATENATE("R10C",'Matriz riesgos de gestión'!$T$71),"")</f>
        <v/>
      </c>
      <c r="AL55" s="152" t="str">
        <f>IF(AND('Matriz riesgos de gestión'!$AD$72="Muy Baja",'Matriz riesgos de gestión'!$AF$72="Catastrófico"),CONCATENATE("R10C",'Matriz riesgos de gestión'!$T$72),"")</f>
        <v/>
      </c>
      <c r="AM55" s="153" t="str">
        <f>IF(AND('Matriz riesgos de gestión'!$AD$73="Muy Baja",'Matriz riesgos de gestión'!$AF$73="Catastrófico"),CONCATENATE("R10C",'Matriz riesgos de gestión'!$T$73),"")</f>
        <v/>
      </c>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row>
    <row r="56" spans="1:61" ht="15.75" customHeight="1" x14ac:dyDescent="0.25">
      <c r="A56" s="115"/>
      <c r="B56" s="115"/>
      <c r="C56" s="115"/>
      <c r="D56" s="115"/>
      <c r="E56" s="115"/>
      <c r="F56" s="115"/>
      <c r="G56" s="115"/>
      <c r="H56" s="115"/>
      <c r="I56" s="115"/>
      <c r="J56" s="693" t="s">
        <v>12</v>
      </c>
      <c r="K56" s="656"/>
      <c r="L56" s="656"/>
      <c r="M56" s="656"/>
      <c r="N56" s="656"/>
      <c r="O56" s="657"/>
      <c r="P56" s="693" t="s">
        <v>13</v>
      </c>
      <c r="Q56" s="656"/>
      <c r="R56" s="656"/>
      <c r="S56" s="656"/>
      <c r="T56" s="656"/>
      <c r="U56" s="657"/>
      <c r="V56" s="693" t="s">
        <v>14</v>
      </c>
      <c r="W56" s="656"/>
      <c r="X56" s="656"/>
      <c r="Y56" s="656"/>
      <c r="Z56" s="656"/>
      <c r="AA56" s="657"/>
      <c r="AB56" s="693" t="s">
        <v>15</v>
      </c>
      <c r="AC56" s="656"/>
      <c r="AD56" s="656"/>
      <c r="AE56" s="656"/>
      <c r="AF56" s="656"/>
      <c r="AG56" s="657"/>
      <c r="AH56" s="693" t="s">
        <v>16</v>
      </c>
      <c r="AI56" s="656"/>
      <c r="AJ56" s="656"/>
      <c r="AK56" s="656"/>
      <c r="AL56" s="656"/>
      <c r="AM56" s="657"/>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row>
    <row r="57" spans="1:61" ht="15.75" customHeight="1" x14ac:dyDescent="0.25">
      <c r="A57" s="115"/>
      <c r="B57" s="115"/>
      <c r="C57" s="115"/>
      <c r="D57" s="115"/>
      <c r="E57" s="115"/>
      <c r="F57" s="115"/>
      <c r="G57" s="115"/>
      <c r="H57" s="115"/>
      <c r="I57" s="115"/>
      <c r="J57" s="659"/>
      <c r="K57" s="670"/>
      <c r="L57" s="670"/>
      <c r="M57" s="670"/>
      <c r="N57" s="670"/>
      <c r="O57" s="653"/>
      <c r="P57" s="659"/>
      <c r="Q57" s="670"/>
      <c r="R57" s="670"/>
      <c r="S57" s="670"/>
      <c r="T57" s="670"/>
      <c r="U57" s="653"/>
      <c r="V57" s="659"/>
      <c r="W57" s="670"/>
      <c r="X57" s="670"/>
      <c r="Y57" s="670"/>
      <c r="Z57" s="670"/>
      <c r="AA57" s="653"/>
      <c r="AB57" s="659"/>
      <c r="AC57" s="670"/>
      <c r="AD57" s="670"/>
      <c r="AE57" s="670"/>
      <c r="AF57" s="670"/>
      <c r="AG57" s="653"/>
      <c r="AH57" s="659"/>
      <c r="AI57" s="670"/>
      <c r="AJ57" s="670"/>
      <c r="AK57" s="670"/>
      <c r="AL57" s="670"/>
      <c r="AM57" s="653"/>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row>
    <row r="58" spans="1:61" ht="15.75" customHeight="1" x14ac:dyDescent="0.25">
      <c r="A58" s="115"/>
      <c r="B58" s="115"/>
      <c r="C58" s="115"/>
      <c r="D58" s="115"/>
      <c r="E58" s="115"/>
      <c r="F58" s="115"/>
      <c r="G58" s="115"/>
      <c r="H58" s="115"/>
      <c r="I58" s="115"/>
      <c r="J58" s="659"/>
      <c r="K58" s="670"/>
      <c r="L58" s="670"/>
      <c r="M58" s="670"/>
      <c r="N58" s="670"/>
      <c r="O58" s="653"/>
      <c r="P58" s="659"/>
      <c r="Q58" s="670"/>
      <c r="R58" s="670"/>
      <c r="S58" s="670"/>
      <c r="T58" s="670"/>
      <c r="U58" s="653"/>
      <c r="V58" s="659"/>
      <c r="W58" s="670"/>
      <c r="X58" s="670"/>
      <c r="Y58" s="670"/>
      <c r="Z58" s="670"/>
      <c r="AA58" s="653"/>
      <c r="AB58" s="659"/>
      <c r="AC58" s="670"/>
      <c r="AD58" s="670"/>
      <c r="AE58" s="670"/>
      <c r="AF58" s="670"/>
      <c r="AG58" s="653"/>
      <c r="AH58" s="659"/>
      <c r="AI58" s="670"/>
      <c r="AJ58" s="670"/>
      <c r="AK58" s="670"/>
      <c r="AL58" s="670"/>
      <c r="AM58" s="653"/>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row>
    <row r="59" spans="1:61" ht="15.75" customHeight="1" x14ac:dyDescent="0.25">
      <c r="A59" s="115"/>
      <c r="B59" s="115"/>
      <c r="C59" s="115"/>
      <c r="D59" s="115"/>
      <c r="E59" s="115"/>
      <c r="F59" s="115"/>
      <c r="G59" s="115"/>
      <c r="H59" s="115"/>
      <c r="I59" s="115"/>
      <c r="J59" s="659"/>
      <c r="K59" s="670"/>
      <c r="L59" s="670"/>
      <c r="M59" s="670"/>
      <c r="N59" s="670"/>
      <c r="O59" s="653"/>
      <c r="P59" s="659"/>
      <c r="Q59" s="670"/>
      <c r="R59" s="670"/>
      <c r="S59" s="670"/>
      <c r="T59" s="670"/>
      <c r="U59" s="653"/>
      <c r="V59" s="659"/>
      <c r="W59" s="670"/>
      <c r="X59" s="670"/>
      <c r="Y59" s="670"/>
      <c r="Z59" s="670"/>
      <c r="AA59" s="653"/>
      <c r="AB59" s="659"/>
      <c r="AC59" s="670"/>
      <c r="AD59" s="670"/>
      <c r="AE59" s="670"/>
      <c r="AF59" s="670"/>
      <c r="AG59" s="653"/>
      <c r="AH59" s="659"/>
      <c r="AI59" s="670"/>
      <c r="AJ59" s="670"/>
      <c r="AK59" s="670"/>
      <c r="AL59" s="670"/>
      <c r="AM59" s="653"/>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row>
    <row r="60" spans="1:61" ht="15.75" customHeight="1" x14ac:dyDescent="0.25">
      <c r="A60" s="115"/>
      <c r="B60" s="115"/>
      <c r="C60" s="115"/>
      <c r="D60" s="115"/>
      <c r="E60" s="115"/>
      <c r="F60" s="115"/>
      <c r="G60" s="115"/>
      <c r="H60" s="115"/>
      <c r="I60" s="115"/>
      <c r="J60" s="659"/>
      <c r="K60" s="670"/>
      <c r="L60" s="670"/>
      <c r="M60" s="670"/>
      <c r="N60" s="670"/>
      <c r="O60" s="653"/>
      <c r="P60" s="659"/>
      <c r="Q60" s="670"/>
      <c r="R60" s="670"/>
      <c r="S60" s="670"/>
      <c r="T60" s="670"/>
      <c r="U60" s="653"/>
      <c r="V60" s="659"/>
      <c r="W60" s="670"/>
      <c r="X60" s="670"/>
      <c r="Y60" s="670"/>
      <c r="Z60" s="670"/>
      <c r="AA60" s="653"/>
      <c r="AB60" s="659"/>
      <c r="AC60" s="670"/>
      <c r="AD60" s="670"/>
      <c r="AE60" s="670"/>
      <c r="AF60" s="670"/>
      <c r="AG60" s="653"/>
      <c r="AH60" s="659"/>
      <c r="AI60" s="670"/>
      <c r="AJ60" s="670"/>
      <c r="AK60" s="670"/>
      <c r="AL60" s="670"/>
      <c r="AM60" s="653"/>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row>
    <row r="61" spans="1:61" ht="15.75" customHeight="1" x14ac:dyDescent="0.25">
      <c r="A61" s="115"/>
      <c r="B61" s="115"/>
      <c r="C61" s="115"/>
      <c r="D61" s="115"/>
      <c r="E61" s="115"/>
      <c r="F61" s="115"/>
      <c r="G61" s="115"/>
      <c r="H61" s="115"/>
      <c r="I61" s="115"/>
      <c r="J61" s="671"/>
      <c r="K61" s="672"/>
      <c r="L61" s="672"/>
      <c r="M61" s="672"/>
      <c r="N61" s="672"/>
      <c r="O61" s="673"/>
      <c r="P61" s="671"/>
      <c r="Q61" s="672"/>
      <c r="R61" s="672"/>
      <c r="S61" s="672"/>
      <c r="T61" s="672"/>
      <c r="U61" s="673"/>
      <c r="V61" s="671"/>
      <c r="W61" s="672"/>
      <c r="X61" s="672"/>
      <c r="Y61" s="672"/>
      <c r="Z61" s="672"/>
      <c r="AA61" s="673"/>
      <c r="AB61" s="671"/>
      <c r="AC61" s="672"/>
      <c r="AD61" s="672"/>
      <c r="AE61" s="672"/>
      <c r="AF61" s="672"/>
      <c r="AG61" s="673"/>
      <c r="AH61" s="671"/>
      <c r="AI61" s="672"/>
      <c r="AJ61" s="672"/>
      <c r="AK61" s="672"/>
      <c r="AL61" s="672"/>
      <c r="AM61" s="673"/>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row>
    <row r="62" spans="1:61" ht="15.75" customHeight="1" x14ac:dyDescent="0.25">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row>
    <row r="63" spans="1:61" ht="15" customHeight="1" x14ac:dyDescent="0.25">
      <c r="A63" s="115"/>
      <c r="B63" s="141"/>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15"/>
      <c r="AV63" s="115"/>
      <c r="AW63" s="115"/>
      <c r="AX63" s="115"/>
      <c r="AY63" s="115"/>
      <c r="AZ63" s="115"/>
      <c r="BA63" s="115"/>
      <c r="BB63" s="115"/>
      <c r="BC63" s="115"/>
      <c r="BD63" s="115"/>
      <c r="BE63" s="115"/>
      <c r="BF63" s="115"/>
      <c r="BG63" s="115"/>
      <c r="BH63" s="115"/>
    </row>
    <row r="64" spans="1:61" ht="15" customHeight="1" x14ac:dyDescent="0.25">
      <c r="A64" s="115"/>
      <c r="B64" s="141"/>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141"/>
      <c r="AB64" s="141"/>
      <c r="AC64" s="141"/>
      <c r="AD64" s="141"/>
      <c r="AE64" s="141"/>
      <c r="AF64" s="141"/>
      <c r="AG64" s="141"/>
      <c r="AH64" s="141"/>
      <c r="AI64" s="141"/>
      <c r="AJ64" s="141"/>
      <c r="AK64" s="141"/>
      <c r="AL64" s="141"/>
      <c r="AM64" s="141"/>
      <c r="AN64" s="141"/>
      <c r="AO64" s="141"/>
      <c r="AP64" s="141"/>
      <c r="AQ64" s="141"/>
      <c r="AR64" s="141"/>
      <c r="AS64" s="141"/>
      <c r="AT64" s="141"/>
      <c r="AU64" s="115"/>
      <c r="AV64" s="115"/>
      <c r="AW64" s="115"/>
      <c r="AX64" s="115"/>
      <c r="AY64" s="115"/>
      <c r="AZ64" s="115"/>
      <c r="BA64" s="115"/>
      <c r="BB64" s="115"/>
      <c r="BC64" s="115"/>
      <c r="BD64" s="115"/>
      <c r="BE64" s="115"/>
      <c r="BF64" s="115"/>
      <c r="BG64" s="115"/>
      <c r="BH64" s="115"/>
    </row>
    <row r="65" spans="1:60" ht="15.75" customHeight="1" x14ac:dyDescent="0.25">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row>
    <row r="66" spans="1:60" ht="15.75" customHeight="1" x14ac:dyDescent="0.25">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row>
    <row r="67" spans="1:60" ht="15.75" customHeight="1" x14ac:dyDescent="0.25">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row>
    <row r="68" spans="1:60" ht="15.75" customHeight="1" x14ac:dyDescent="0.25">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row>
    <row r="69" spans="1:60" ht="15.75" customHeight="1" x14ac:dyDescent="0.25">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row>
    <row r="70" spans="1:60" ht="15.75" customHeight="1" x14ac:dyDescent="0.25">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row>
    <row r="71" spans="1:60" ht="15.75" customHeight="1" x14ac:dyDescent="0.25">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row>
    <row r="72" spans="1:60" ht="15.75" customHeight="1" x14ac:dyDescent="0.25">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row>
    <row r="73" spans="1:60" ht="15.75" customHeight="1" x14ac:dyDescent="0.25">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row>
    <row r="74" spans="1:60" ht="15.75" customHeight="1" x14ac:dyDescent="0.25">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row>
    <row r="75" spans="1:60" ht="15.75" customHeight="1" x14ac:dyDescent="0.25">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row>
    <row r="76" spans="1:60" ht="15.75" customHeight="1" x14ac:dyDescent="0.25">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row>
    <row r="77" spans="1:60" ht="15.75"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row>
    <row r="78" spans="1:60" ht="15.75" customHeight="1" x14ac:dyDescent="0.25">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row>
    <row r="79" spans="1:60" ht="15.75"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row>
    <row r="80" spans="1:60" ht="15.75" customHeight="1" x14ac:dyDescent="0.25">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row>
    <row r="81" spans="1:60" ht="15.75" customHeight="1" x14ac:dyDescent="0.25">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row>
    <row r="82" spans="1:60" ht="15.75" customHeight="1" x14ac:dyDescent="0.25">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row>
    <row r="83" spans="1:60" ht="15.75" customHeight="1" x14ac:dyDescent="0.25">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row>
    <row r="84" spans="1:60" ht="15.75" customHeight="1" x14ac:dyDescent="0.25">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row>
    <row r="85" spans="1:60" ht="15.75" customHeight="1" x14ac:dyDescent="0.25">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row>
    <row r="86" spans="1:60" ht="15.75" customHeight="1" x14ac:dyDescent="0.25">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row>
    <row r="87" spans="1:60" ht="15.75" customHeight="1" x14ac:dyDescent="0.25">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row>
    <row r="88" spans="1:60" ht="15.75" customHeight="1" x14ac:dyDescent="0.25">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row>
    <row r="89" spans="1:60" ht="15.75" customHeight="1" x14ac:dyDescent="0.25">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row>
    <row r="90" spans="1:60" ht="15.75" customHeight="1" x14ac:dyDescent="0.25">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row>
    <row r="91" spans="1:60" ht="15.75" customHeight="1" x14ac:dyDescent="0.25">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row>
    <row r="92" spans="1:60" ht="15.75" customHeight="1" x14ac:dyDescent="0.25">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row>
    <row r="93" spans="1:60" ht="15.75" customHeight="1" x14ac:dyDescent="0.25">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row>
    <row r="94" spans="1:60" ht="15.75" customHeight="1" x14ac:dyDescent="0.25">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row>
    <row r="95" spans="1:60" ht="15.75" customHeight="1" x14ac:dyDescent="0.25">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row>
    <row r="96" spans="1:60" ht="15.75" customHeight="1" x14ac:dyDescent="0.25">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row>
    <row r="97" spans="1:60" ht="15.75" customHeight="1" x14ac:dyDescent="0.25">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row>
    <row r="98" spans="1:60" ht="15.75" customHeight="1" x14ac:dyDescent="0.25">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row>
    <row r="99" spans="1:60" ht="15.75" customHeight="1" x14ac:dyDescent="0.25">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row>
    <row r="100" spans="1:60" ht="15.75"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row>
    <row r="101" spans="1:60" ht="15.75" customHeight="1" x14ac:dyDescent="0.25">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row>
    <row r="102" spans="1:60" ht="15.75" customHeight="1" x14ac:dyDescent="0.25">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row>
    <row r="103" spans="1:60" ht="15.75" customHeight="1" x14ac:dyDescent="0.25">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row>
    <row r="104" spans="1:60" ht="15.75" customHeight="1" x14ac:dyDescent="0.25">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row>
    <row r="105" spans="1:60" ht="15.75" customHeight="1" x14ac:dyDescent="0.25">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row>
    <row r="106" spans="1:60" ht="15.75" customHeight="1" x14ac:dyDescent="0.25">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row>
    <row r="107" spans="1:60" ht="15.75" customHeight="1" x14ac:dyDescent="0.25">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row>
    <row r="108" spans="1:60" ht="15.75" customHeight="1" x14ac:dyDescent="0.25">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row>
    <row r="109" spans="1:60" ht="15.75" customHeight="1" x14ac:dyDescent="0.25">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row>
    <row r="110" spans="1:60" ht="15.75" customHeight="1" x14ac:dyDescent="0.25">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row>
    <row r="111" spans="1:60" ht="15.75"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row>
    <row r="112" spans="1:60" ht="15.75" customHeight="1" x14ac:dyDescent="0.25">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row>
    <row r="113" spans="1:60" ht="15.75" customHeight="1" x14ac:dyDescent="0.25">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row>
    <row r="114" spans="1:60" ht="15.75" customHeight="1" x14ac:dyDescent="0.25">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row>
    <row r="115" spans="1:60" ht="15.75" customHeight="1" x14ac:dyDescent="0.25">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row>
    <row r="116" spans="1:60" ht="15.75" customHeight="1" x14ac:dyDescent="0.25">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row>
    <row r="117" spans="1:60" ht="15.75" customHeight="1" x14ac:dyDescent="0.25">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row>
    <row r="118" spans="1:60" ht="15.75" customHeight="1" x14ac:dyDescent="0.25">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row>
    <row r="119" spans="1:60" ht="15.75" customHeight="1" x14ac:dyDescent="0.25">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row>
    <row r="120" spans="1:60" ht="15.75" customHeight="1" x14ac:dyDescent="0.25">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row>
    <row r="121" spans="1:60" ht="15.75" customHeight="1" x14ac:dyDescent="0.25">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row>
    <row r="122" spans="1:60" ht="15.75" customHeight="1" x14ac:dyDescent="0.25">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row>
    <row r="123" spans="1:60" ht="15.75" customHeight="1" x14ac:dyDescent="0.25">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row>
    <row r="124" spans="1:60" ht="15.75" customHeight="1" x14ac:dyDescent="0.25">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row>
    <row r="125" spans="1:60" ht="15.75" customHeight="1" x14ac:dyDescent="0.25">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row>
    <row r="126" spans="1:60" ht="15.75" customHeight="1" x14ac:dyDescent="0.25">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row>
    <row r="127" spans="1:60" ht="15.75" customHeight="1" x14ac:dyDescent="0.25">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row>
    <row r="128" spans="1:60" ht="15.75"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row>
    <row r="129" spans="1:60" ht="15.75" customHeight="1" x14ac:dyDescent="0.25">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row>
    <row r="130" spans="1:60" ht="15.75" customHeight="1" x14ac:dyDescent="0.25">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row>
    <row r="131" spans="1:60" ht="15.75" customHeight="1" x14ac:dyDescent="0.25">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row>
    <row r="132" spans="1:60" ht="15.75" customHeight="1" x14ac:dyDescent="0.25">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row>
    <row r="133" spans="1:60" ht="15.75" customHeight="1" x14ac:dyDescent="0.25">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row>
    <row r="134" spans="1:60" ht="15.75" customHeight="1" x14ac:dyDescent="0.25">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row>
    <row r="135" spans="1:60" ht="15.75" customHeight="1" x14ac:dyDescent="0.25">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row>
    <row r="136" spans="1:60" ht="15.75" customHeight="1" x14ac:dyDescent="0.25">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row>
    <row r="137" spans="1:60" ht="15.75" customHeight="1" x14ac:dyDescent="0.25">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row>
    <row r="138" spans="1:60" ht="15.75" customHeight="1" x14ac:dyDescent="0.25">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row>
    <row r="139" spans="1:60" ht="15.75" customHeight="1" x14ac:dyDescent="0.25">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row>
    <row r="140" spans="1:60" ht="15.75" customHeight="1" x14ac:dyDescent="0.25">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row>
    <row r="141" spans="1:60" ht="15.75" customHeight="1" x14ac:dyDescent="0.25">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row>
    <row r="142" spans="1:60" ht="15.75" customHeight="1" x14ac:dyDescent="0.25">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row>
    <row r="143" spans="1:60" ht="15.75" customHeight="1" x14ac:dyDescent="0.25">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row>
    <row r="144" spans="1:60" ht="15.75" customHeight="1" x14ac:dyDescent="0.25">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row>
    <row r="145" spans="1:60" ht="15.75" customHeight="1" x14ac:dyDescent="0.25">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row>
    <row r="146" spans="1:60" ht="15.75" customHeight="1" x14ac:dyDescent="0.25">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row>
    <row r="147" spans="1:60" ht="15.75" customHeight="1" x14ac:dyDescent="0.25">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row>
    <row r="148" spans="1:60" ht="15.75" customHeight="1" x14ac:dyDescent="0.25">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row>
    <row r="149" spans="1:60" ht="15.75" customHeight="1" x14ac:dyDescent="0.25">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row>
    <row r="150" spans="1:60" ht="15.75" customHeight="1" x14ac:dyDescent="0.25">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row>
    <row r="151" spans="1:60" ht="15.75" customHeight="1" x14ac:dyDescent="0.25">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row>
    <row r="152" spans="1:60" ht="15.75" customHeight="1" x14ac:dyDescent="0.25">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row>
    <row r="153" spans="1:60" ht="15.75" customHeight="1" x14ac:dyDescent="0.25">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row>
    <row r="154" spans="1:60" ht="15.75" customHeight="1" x14ac:dyDescent="0.25">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row>
    <row r="155" spans="1:60" ht="15.75" customHeight="1" x14ac:dyDescent="0.25">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row>
    <row r="156" spans="1:60" ht="15.75" customHeight="1" x14ac:dyDescent="0.25">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row>
    <row r="157" spans="1:60" ht="15.75" customHeight="1" x14ac:dyDescent="0.25">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row>
    <row r="158" spans="1:60" ht="15.75" customHeight="1" x14ac:dyDescent="0.25">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row>
    <row r="159" spans="1:60" ht="15.75" customHeight="1" x14ac:dyDescent="0.25">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row>
    <row r="160" spans="1:60" ht="15.75" customHeight="1" x14ac:dyDescent="0.25">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row>
    <row r="161" spans="1:60" ht="15.75" customHeight="1" x14ac:dyDescent="0.25">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row>
    <row r="162" spans="1:60" ht="15.75" customHeight="1" x14ac:dyDescent="0.25">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row>
    <row r="163" spans="1:60" ht="15.75" customHeight="1" x14ac:dyDescent="0.25">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row>
    <row r="164" spans="1:60" ht="15.75" customHeight="1" x14ac:dyDescent="0.25">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row>
    <row r="165" spans="1:60" ht="15.75" customHeight="1" x14ac:dyDescent="0.25">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row>
    <row r="166" spans="1:60" ht="15.75" customHeight="1" x14ac:dyDescent="0.25">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row>
    <row r="167" spans="1:60" ht="15.75" customHeight="1" x14ac:dyDescent="0.25">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row>
    <row r="168" spans="1:60" ht="15.75" customHeight="1" x14ac:dyDescent="0.25">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row>
    <row r="169" spans="1:60" ht="15.75" customHeight="1" x14ac:dyDescent="0.25">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row>
    <row r="170" spans="1:60" ht="15.75" customHeight="1" x14ac:dyDescent="0.25">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row>
    <row r="171" spans="1:60" ht="15.75" customHeight="1" x14ac:dyDescent="0.25">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row>
    <row r="172" spans="1:60" ht="15.75" customHeight="1" x14ac:dyDescent="0.25">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row>
    <row r="173" spans="1:60" ht="15.75" customHeight="1" x14ac:dyDescent="0.25">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row>
    <row r="174" spans="1:60" ht="15.75" customHeight="1" x14ac:dyDescent="0.25">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row>
    <row r="175" spans="1:60" ht="15.75" customHeight="1" x14ac:dyDescent="0.25">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row>
    <row r="176" spans="1:60" ht="15.75" customHeight="1" x14ac:dyDescent="0.25">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row>
    <row r="177" spans="1:60" ht="15.75" customHeight="1" x14ac:dyDescent="0.25">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row>
    <row r="178" spans="1:60" ht="15.75" customHeight="1" x14ac:dyDescent="0.25">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row>
    <row r="179" spans="1:60" ht="15.75" customHeight="1" x14ac:dyDescent="0.25">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row>
    <row r="180" spans="1:60" ht="15.75" customHeight="1" x14ac:dyDescent="0.25">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row>
    <row r="181" spans="1:60" ht="15.75" customHeight="1" x14ac:dyDescent="0.25">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row>
    <row r="182" spans="1:60" ht="15.75" customHeight="1" x14ac:dyDescent="0.25">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row>
    <row r="183" spans="1:60" ht="15.75" customHeight="1" x14ac:dyDescent="0.25">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row>
    <row r="184" spans="1:60" ht="15.75" customHeight="1" x14ac:dyDescent="0.25">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row>
    <row r="185" spans="1:60" ht="15.75" customHeight="1" x14ac:dyDescent="0.25">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row>
    <row r="186" spans="1:60" ht="15.75" customHeight="1" x14ac:dyDescent="0.25">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row>
    <row r="187" spans="1:60" ht="15.75" customHeight="1" x14ac:dyDescent="0.25">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row>
    <row r="188" spans="1:60" ht="15.75" customHeight="1" x14ac:dyDescent="0.25">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row>
    <row r="189" spans="1:60" ht="15.75" customHeight="1" x14ac:dyDescent="0.25">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row>
    <row r="190" spans="1:60" ht="15.75" customHeight="1" x14ac:dyDescent="0.25">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row>
    <row r="191" spans="1:60" ht="15.75" customHeight="1" x14ac:dyDescent="0.25">
      <c r="A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row>
    <row r="192" spans="1:60" ht="15.75" customHeight="1" x14ac:dyDescent="0.25">
      <c r="A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row>
    <row r="193" spans="1:60" ht="15.75" customHeight="1" x14ac:dyDescent="0.25">
      <c r="A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row>
    <row r="194" spans="1:60" ht="15.75" customHeight="1" x14ac:dyDescent="0.25">
      <c r="A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row>
    <row r="195" spans="1:60" ht="15.75" customHeight="1" x14ac:dyDescent="0.25">
      <c r="A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row>
    <row r="196" spans="1:60" ht="15.75" customHeight="1" x14ac:dyDescent="0.25">
      <c r="A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row>
    <row r="197" spans="1:60" ht="15.75" customHeight="1" x14ac:dyDescent="0.25">
      <c r="A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row>
    <row r="198" spans="1:60" ht="15.75" customHeight="1" x14ac:dyDescent="0.25">
      <c r="A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row>
    <row r="199" spans="1:60" ht="15.75" customHeight="1" x14ac:dyDescent="0.25">
      <c r="A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row>
    <row r="200" spans="1:60" ht="15.75" customHeight="1" x14ac:dyDescent="0.25">
      <c r="A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row>
    <row r="201" spans="1:60" ht="15.75" customHeight="1" x14ac:dyDescent="0.25">
      <c r="A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row>
    <row r="202" spans="1:60" ht="15.75" customHeight="1" x14ac:dyDescent="0.25">
      <c r="A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row>
    <row r="203" spans="1:60" ht="15.75" customHeight="1" x14ac:dyDescent="0.25">
      <c r="A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row>
    <row r="204" spans="1:60" ht="15.75" customHeight="1" x14ac:dyDescent="0.25">
      <c r="A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row>
    <row r="205" spans="1:60" ht="15.75" customHeight="1" x14ac:dyDescent="0.25">
      <c r="A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row>
    <row r="206" spans="1:60" ht="15.75" customHeight="1" x14ac:dyDescent="0.25">
      <c r="A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row>
    <row r="207" spans="1:60" ht="15.75" customHeight="1" x14ac:dyDescent="0.25">
      <c r="A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row>
    <row r="208" spans="1:60" ht="15.75" customHeight="1" x14ac:dyDescent="0.25">
      <c r="A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row>
    <row r="209" spans="1:60" ht="15.75" customHeight="1" x14ac:dyDescent="0.25">
      <c r="A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row>
    <row r="210" spans="1:60" ht="15.75" customHeight="1" x14ac:dyDescent="0.25">
      <c r="A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row>
    <row r="211" spans="1:60" ht="15.75" customHeight="1" x14ac:dyDescent="0.25">
      <c r="A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row>
    <row r="212" spans="1:60" ht="15.75" customHeight="1" x14ac:dyDescent="0.25">
      <c r="A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row>
    <row r="213" spans="1:60" ht="15.75" customHeight="1" x14ac:dyDescent="0.25">
      <c r="A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row>
    <row r="214" spans="1:60" ht="15.75" customHeight="1" x14ac:dyDescent="0.25">
      <c r="A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row>
    <row r="215" spans="1:60" ht="15.75" customHeight="1" x14ac:dyDescent="0.25">
      <c r="A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row>
    <row r="216" spans="1:60" ht="15.75" customHeight="1" x14ac:dyDescent="0.25">
      <c r="A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row>
    <row r="217" spans="1:60" ht="15.75" customHeight="1" x14ac:dyDescent="0.25">
      <c r="A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row>
    <row r="218" spans="1:60" ht="15.75" customHeight="1" x14ac:dyDescent="0.25">
      <c r="A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row>
    <row r="219" spans="1:60" ht="15.75" customHeight="1" x14ac:dyDescent="0.25">
      <c r="A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row>
    <row r="220" spans="1:60" ht="15.75" customHeight="1" x14ac:dyDescent="0.25">
      <c r="A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row>
    <row r="221" spans="1:60" ht="15.75" customHeight="1" x14ac:dyDescent="0.25">
      <c r="A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row>
    <row r="222" spans="1:60" ht="15.75" customHeight="1" x14ac:dyDescent="0.25">
      <c r="A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row>
    <row r="223" spans="1:60" ht="15.75" customHeight="1" x14ac:dyDescent="0.25">
      <c r="A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row>
    <row r="224" spans="1:60" ht="15.75" customHeight="1" x14ac:dyDescent="0.25">
      <c r="A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row>
    <row r="225" spans="1:60" ht="15.75" customHeight="1" x14ac:dyDescent="0.25">
      <c r="A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row>
    <row r="226" spans="1:60" ht="15.75" customHeight="1" x14ac:dyDescent="0.25">
      <c r="A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row>
    <row r="227" spans="1:60" ht="15.75" customHeight="1" x14ac:dyDescent="0.25">
      <c r="A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row>
    <row r="228" spans="1:60" ht="15.75" customHeight="1" x14ac:dyDescent="0.25">
      <c r="A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row>
    <row r="229" spans="1:60" ht="15.75" customHeight="1" x14ac:dyDescent="0.25">
      <c r="A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row>
    <row r="230" spans="1:60" ht="15.75" customHeight="1" x14ac:dyDescent="0.25">
      <c r="A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row>
    <row r="231" spans="1:60" ht="15.75" customHeight="1" x14ac:dyDescent="0.25">
      <c r="A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row>
    <row r="232" spans="1:60" ht="15.75" customHeight="1" x14ac:dyDescent="0.25">
      <c r="A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row>
    <row r="233" spans="1:60" ht="15.75" customHeight="1" x14ac:dyDescent="0.25">
      <c r="A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row>
    <row r="234" spans="1:60" ht="15.75" customHeight="1" x14ac:dyDescent="0.25">
      <c r="A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row>
    <row r="235" spans="1:60" ht="15.75" customHeight="1" x14ac:dyDescent="0.25">
      <c r="A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row>
    <row r="236" spans="1:60" ht="15.75" customHeight="1" x14ac:dyDescent="0.25">
      <c r="A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row>
    <row r="237" spans="1:60" ht="15.75" customHeight="1" x14ac:dyDescent="0.25">
      <c r="A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row>
    <row r="238" spans="1:60" ht="15.75" customHeight="1" x14ac:dyDescent="0.25">
      <c r="A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row>
    <row r="239" spans="1:60" ht="15.75" customHeight="1" x14ac:dyDescent="0.25">
      <c r="A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row>
    <row r="240" spans="1:60" ht="15.75" customHeight="1" x14ac:dyDescent="0.25">
      <c r="A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row>
    <row r="241" spans="1:60" ht="15.75" customHeight="1" x14ac:dyDescent="0.25">
      <c r="A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row>
    <row r="242" spans="1:60" ht="15.75" customHeight="1" x14ac:dyDescent="0.25">
      <c r="A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row>
    <row r="243" spans="1:60" ht="15.75" customHeight="1" x14ac:dyDescent="0.25">
      <c r="A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row>
    <row r="244" spans="1:60" ht="15.75" customHeight="1" x14ac:dyDescent="0.25">
      <c r="A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row>
    <row r="245" spans="1:60" ht="15.75" customHeight="1" x14ac:dyDescent="0.25">
      <c r="A245" s="115"/>
    </row>
    <row r="246" spans="1:60" ht="15.75" customHeight="1" x14ac:dyDescent="0.25">
      <c r="A246" s="115"/>
    </row>
    <row r="247" spans="1:60" ht="15.75" customHeight="1" x14ac:dyDescent="0.25">
      <c r="A247" s="115"/>
    </row>
    <row r="248" spans="1:60" ht="15.75" customHeight="1" x14ac:dyDescent="0.25">
      <c r="A248" s="115"/>
    </row>
    <row r="249" spans="1:60" ht="15.75" customHeight="1" x14ac:dyDescent="0.2"/>
    <row r="250" spans="1:60" ht="15.75" customHeight="1" x14ac:dyDescent="0.2"/>
    <row r="251" spans="1:60" ht="15.75" customHeight="1" x14ac:dyDescent="0.2"/>
    <row r="252" spans="1:60" ht="15.75" customHeight="1" x14ac:dyDescent="0.2"/>
    <row r="253" spans="1:60" ht="15.75" customHeight="1" x14ac:dyDescent="0.2"/>
    <row r="254" spans="1:60" ht="15.75" customHeight="1" x14ac:dyDescent="0.2"/>
    <row r="255" spans="1:60" ht="15.75" customHeight="1" x14ac:dyDescent="0.2"/>
    <row r="256" spans="1:60"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ageMargins left="0.70866141732283472" right="0.70866141732283472" top="0.74803149606299213" bottom="0.74803149606299213" header="0" footer="0"/>
  <pageSetup scale="39" orientation="portrait" r:id="rId1"/>
  <headerFooter>
    <oddHeader>&amp;L&amp;G&amp;C
MATRIZ DE RIESGOS&amp;RCódigo:E-02-F-014
Versión: 4
Fecha: Ver Isolución</oddHeader>
  </headerFooter>
  <colBreaks count="1" manualBreakCount="1">
    <brk id="39" max="1048575" man="1"/>
  </col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1"/>
  <sheetViews>
    <sheetView zoomScaleNormal="100" workbookViewId="0">
      <selection activeCell="B1" sqref="B1"/>
    </sheetView>
  </sheetViews>
  <sheetFormatPr baseColWidth="10" defaultColWidth="12.625" defaultRowHeight="15" customHeight="1" x14ac:dyDescent="0.2"/>
  <cols>
    <col min="1" max="1" width="12.5" style="174" customWidth="1"/>
    <col min="2" max="2" width="12.5" customWidth="1"/>
    <col min="3" max="3" width="14.875" customWidth="1"/>
    <col min="4" max="4" width="12.5" customWidth="1"/>
    <col min="5" max="5" width="40.25" customWidth="1"/>
    <col min="6" max="6" width="12.5" customWidth="1"/>
    <col min="7" max="26" width="12.5" style="174" customWidth="1"/>
  </cols>
  <sheetData>
    <row r="1" spans="2:6" ht="27" customHeight="1" x14ac:dyDescent="0.25">
      <c r="B1" s="175"/>
      <c r="C1" s="174"/>
      <c r="D1" s="174"/>
      <c r="E1" s="174"/>
      <c r="F1" s="174"/>
    </row>
    <row r="2" spans="2:6" ht="24" customHeight="1" x14ac:dyDescent="0.2">
      <c r="B2" s="920" t="s">
        <v>1886</v>
      </c>
      <c r="C2" s="921"/>
      <c r="D2" s="921"/>
      <c r="E2" s="921"/>
      <c r="F2" s="922"/>
    </row>
    <row r="3" spans="2:6" ht="12.75" customHeight="1" x14ac:dyDescent="0.25">
      <c r="B3" s="176"/>
      <c r="C3" s="176"/>
      <c r="D3" s="176"/>
      <c r="E3" s="176"/>
      <c r="F3" s="176"/>
    </row>
    <row r="4" spans="2:6" ht="12.75" customHeight="1" x14ac:dyDescent="0.2">
      <c r="B4" s="923" t="s">
        <v>1887</v>
      </c>
      <c r="C4" s="921"/>
      <c r="D4" s="924"/>
      <c r="E4" s="56" t="s">
        <v>1312</v>
      </c>
      <c r="F4" s="57" t="s">
        <v>1888</v>
      </c>
    </row>
    <row r="5" spans="2:6" ht="31.5" x14ac:dyDescent="0.2">
      <c r="B5" s="925" t="s">
        <v>1889</v>
      </c>
      <c r="C5" s="928" t="s">
        <v>170</v>
      </c>
      <c r="D5" s="177" t="s">
        <v>187</v>
      </c>
      <c r="E5" s="178" t="s">
        <v>1890</v>
      </c>
      <c r="F5" s="58">
        <v>0.25</v>
      </c>
    </row>
    <row r="6" spans="2:6" ht="47.25" x14ac:dyDescent="0.2">
      <c r="B6" s="926"/>
      <c r="C6" s="929"/>
      <c r="D6" s="59" t="s">
        <v>228</v>
      </c>
      <c r="E6" s="60" t="s">
        <v>1891</v>
      </c>
      <c r="F6" s="61">
        <v>0.15</v>
      </c>
    </row>
    <row r="7" spans="2:6" ht="47.25" x14ac:dyDescent="0.2">
      <c r="B7" s="926"/>
      <c r="C7" s="918"/>
      <c r="D7" s="59" t="s">
        <v>209</v>
      </c>
      <c r="E7" s="60" t="s">
        <v>1892</v>
      </c>
      <c r="F7" s="61">
        <v>0.1</v>
      </c>
    </row>
    <row r="8" spans="2:6" ht="63" x14ac:dyDescent="0.2">
      <c r="B8" s="926"/>
      <c r="C8" s="917" t="s">
        <v>171</v>
      </c>
      <c r="D8" s="59" t="s">
        <v>341</v>
      </c>
      <c r="E8" s="60" t="s">
        <v>1893</v>
      </c>
      <c r="F8" s="61">
        <v>0.25</v>
      </c>
    </row>
    <row r="9" spans="2:6" ht="31.5" x14ac:dyDescent="0.2">
      <c r="B9" s="927"/>
      <c r="C9" s="918"/>
      <c r="D9" s="59" t="s">
        <v>188</v>
      </c>
      <c r="E9" s="60" t="s">
        <v>1894</v>
      </c>
      <c r="F9" s="61">
        <v>0.15</v>
      </c>
    </row>
    <row r="10" spans="2:6" ht="47.25" x14ac:dyDescent="0.2">
      <c r="B10" s="930" t="s">
        <v>1895</v>
      </c>
      <c r="C10" s="917" t="s">
        <v>173</v>
      </c>
      <c r="D10" s="59" t="s">
        <v>222</v>
      </c>
      <c r="E10" s="60" t="s">
        <v>1896</v>
      </c>
      <c r="F10" s="62" t="s">
        <v>1897</v>
      </c>
    </row>
    <row r="11" spans="2:6" ht="63" x14ac:dyDescent="0.2">
      <c r="B11" s="926"/>
      <c r="C11" s="918"/>
      <c r="D11" s="59" t="s">
        <v>189</v>
      </c>
      <c r="E11" s="60" t="s">
        <v>1898</v>
      </c>
      <c r="F11" s="62" t="s">
        <v>1897</v>
      </c>
    </row>
    <row r="12" spans="2:6" ht="47.25" x14ac:dyDescent="0.2">
      <c r="B12" s="926"/>
      <c r="C12" s="917" t="s">
        <v>174</v>
      </c>
      <c r="D12" s="59" t="s">
        <v>190</v>
      </c>
      <c r="E12" s="60" t="s">
        <v>1899</v>
      </c>
      <c r="F12" s="62" t="s">
        <v>1897</v>
      </c>
    </row>
    <row r="13" spans="2:6" ht="47.25" x14ac:dyDescent="0.2">
      <c r="B13" s="926"/>
      <c r="C13" s="918"/>
      <c r="D13" s="59" t="s">
        <v>202</v>
      </c>
      <c r="E13" s="60" t="s">
        <v>1900</v>
      </c>
      <c r="F13" s="62" t="s">
        <v>1897</v>
      </c>
    </row>
    <row r="14" spans="2:6" ht="31.5" x14ac:dyDescent="0.2">
      <c r="B14" s="926"/>
      <c r="C14" s="917" t="s">
        <v>175</v>
      </c>
      <c r="D14" s="59" t="s">
        <v>191</v>
      </c>
      <c r="E14" s="60" t="s">
        <v>1901</v>
      </c>
      <c r="F14" s="62" t="s">
        <v>1897</v>
      </c>
    </row>
    <row r="15" spans="2:6" ht="31.5" x14ac:dyDescent="0.2">
      <c r="B15" s="931"/>
      <c r="C15" s="919"/>
      <c r="D15" s="63" t="s">
        <v>216</v>
      </c>
      <c r="E15" s="64" t="s">
        <v>1902</v>
      </c>
      <c r="F15" s="65" t="s">
        <v>1897</v>
      </c>
    </row>
    <row r="16" spans="2:6" ht="49.5" customHeight="1" x14ac:dyDescent="0.2">
      <c r="B16" s="916" t="s">
        <v>1903</v>
      </c>
      <c r="C16" s="654"/>
      <c r="D16" s="654"/>
      <c r="E16" s="654"/>
      <c r="F16" s="654"/>
    </row>
    <row r="17" spans="2:6" ht="27" customHeight="1" x14ac:dyDescent="0.25">
      <c r="B17" s="175"/>
      <c r="C17" s="174"/>
      <c r="D17" s="174"/>
      <c r="E17" s="174"/>
      <c r="F17" s="174"/>
    </row>
    <row r="18" spans="2:6" ht="12.75" customHeight="1" x14ac:dyDescent="0.2">
      <c r="B18" s="174"/>
      <c r="C18" s="174"/>
      <c r="D18" s="174"/>
      <c r="E18" s="174"/>
      <c r="F18" s="174"/>
    </row>
    <row r="19" spans="2:6" ht="12.75" customHeight="1" x14ac:dyDescent="0.2">
      <c r="B19" s="174"/>
      <c r="C19" s="174"/>
      <c r="D19" s="174"/>
      <c r="E19" s="174"/>
      <c r="F19" s="174"/>
    </row>
    <row r="20" spans="2:6" ht="12.75" customHeight="1" x14ac:dyDescent="0.2">
      <c r="B20" s="174"/>
      <c r="C20" s="174"/>
      <c r="D20" s="174"/>
      <c r="E20" s="174"/>
      <c r="F20" s="174"/>
    </row>
    <row r="21" spans="2:6" ht="12.75" customHeight="1" x14ac:dyDescent="0.2">
      <c r="B21" s="174"/>
      <c r="C21" s="174"/>
      <c r="D21" s="174"/>
      <c r="E21" s="174"/>
      <c r="F21" s="174"/>
    </row>
    <row r="22" spans="2:6" ht="12.75" customHeight="1" x14ac:dyDescent="0.2">
      <c r="B22" s="174"/>
      <c r="C22" s="174"/>
      <c r="D22" s="174"/>
      <c r="E22" s="174"/>
      <c r="F22" s="174"/>
    </row>
    <row r="23" spans="2:6" ht="12.75" customHeight="1" x14ac:dyDescent="0.2">
      <c r="B23" s="174"/>
      <c r="C23" s="174"/>
      <c r="D23" s="174"/>
      <c r="E23" s="174"/>
      <c r="F23" s="174"/>
    </row>
    <row r="24" spans="2:6" ht="12.75" customHeight="1" x14ac:dyDescent="0.2">
      <c r="B24" s="174"/>
      <c r="C24" s="174"/>
      <c r="D24" s="174"/>
      <c r="E24" s="174"/>
      <c r="F24" s="174"/>
    </row>
    <row r="25" spans="2:6" ht="12.75" customHeight="1" x14ac:dyDescent="0.2">
      <c r="B25" s="174"/>
      <c r="C25" s="174"/>
      <c r="D25" s="174"/>
      <c r="E25" s="174"/>
      <c r="F25" s="174"/>
    </row>
    <row r="26" spans="2:6" ht="12.75" customHeight="1" x14ac:dyDescent="0.2">
      <c r="B26" s="174"/>
      <c r="C26" s="174"/>
      <c r="D26" s="174"/>
      <c r="E26" s="174"/>
      <c r="F26" s="174"/>
    </row>
    <row r="27" spans="2:6" ht="12.75" customHeight="1" x14ac:dyDescent="0.2">
      <c r="B27" s="174"/>
      <c r="C27" s="174"/>
      <c r="D27" s="174"/>
      <c r="E27" s="174"/>
      <c r="F27" s="174"/>
    </row>
    <row r="28" spans="2:6" ht="12.75" customHeight="1" x14ac:dyDescent="0.2">
      <c r="B28" s="174"/>
      <c r="C28" s="174"/>
      <c r="D28" s="174"/>
      <c r="E28" s="174"/>
      <c r="F28" s="174"/>
    </row>
    <row r="29" spans="2:6" ht="12.75" customHeight="1" x14ac:dyDescent="0.2">
      <c r="B29" s="174"/>
      <c r="C29" s="174"/>
      <c r="D29" s="174"/>
      <c r="E29" s="174"/>
      <c r="F29" s="174"/>
    </row>
    <row r="30" spans="2:6" ht="12.75" customHeight="1" x14ac:dyDescent="0.2">
      <c r="B30" s="174"/>
      <c r="C30" s="174"/>
      <c r="D30" s="174"/>
      <c r="E30" s="174"/>
      <c r="F30" s="174"/>
    </row>
    <row r="31" spans="2:6" ht="12.75" customHeight="1" x14ac:dyDescent="0.2">
      <c r="B31" s="174"/>
      <c r="C31" s="174"/>
      <c r="D31" s="174"/>
      <c r="E31" s="174"/>
      <c r="F31" s="174"/>
    </row>
    <row r="32" spans="2:6" ht="12.75" customHeight="1" x14ac:dyDescent="0.2">
      <c r="B32" s="174"/>
      <c r="C32" s="174"/>
      <c r="D32" s="174"/>
      <c r="E32" s="174"/>
      <c r="F32" s="174"/>
    </row>
    <row r="33" spans="2:6" ht="12.75" customHeight="1" x14ac:dyDescent="0.2">
      <c r="B33" s="174"/>
      <c r="C33" s="174"/>
      <c r="D33" s="174"/>
      <c r="E33" s="174"/>
      <c r="F33" s="174"/>
    </row>
    <row r="34" spans="2:6" ht="12.75" customHeight="1" x14ac:dyDescent="0.2">
      <c r="B34" s="174"/>
      <c r="C34" s="174"/>
      <c r="D34" s="174"/>
      <c r="E34" s="174"/>
      <c r="F34" s="174"/>
    </row>
    <row r="35" spans="2:6" ht="12.75" customHeight="1" x14ac:dyDescent="0.2">
      <c r="B35" s="174"/>
      <c r="C35" s="174"/>
      <c r="D35" s="174"/>
      <c r="E35" s="174"/>
      <c r="F35" s="174"/>
    </row>
    <row r="36" spans="2:6" ht="12.75" customHeight="1" x14ac:dyDescent="0.2">
      <c r="B36" s="174"/>
      <c r="C36" s="174"/>
      <c r="D36" s="174"/>
      <c r="E36" s="174"/>
      <c r="F36" s="174"/>
    </row>
    <row r="37" spans="2:6" ht="12.75" customHeight="1" x14ac:dyDescent="0.2">
      <c r="B37" s="174"/>
      <c r="C37" s="174"/>
      <c r="D37" s="174"/>
      <c r="E37" s="174"/>
      <c r="F37" s="174"/>
    </row>
    <row r="38" spans="2:6" ht="12.75" customHeight="1" x14ac:dyDescent="0.2">
      <c r="B38" s="174"/>
      <c r="C38" s="174"/>
      <c r="D38" s="174"/>
      <c r="E38" s="174"/>
      <c r="F38" s="174"/>
    </row>
    <row r="39" spans="2:6" ht="12.75" customHeight="1" x14ac:dyDescent="0.2">
      <c r="B39" s="174"/>
      <c r="C39" s="174"/>
      <c r="D39" s="174"/>
      <c r="E39" s="174"/>
      <c r="F39" s="174"/>
    </row>
    <row r="40" spans="2:6" ht="12.75" customHeight="1" x14ac:dyDescent="0.2">
      <c r="B40" s="174"/>
      <c r="C40" s="174"/>
      <c r="D40" s="174"/>
      <c r="E40" s="174"/>
      <c r="F40" s="174"/>
    </row>
    <row r="41" spans="2:6" ht="12.75" customHeight="1" x14ac:dyDescent="0.2">
      <c r="B41" s="174"/>
      <c r="C41" s="174"/>
      <c r="D41" s="174"/>
      <c r="E41" s="174"/>
      <c r="F41" s="174"/>
    </row>
    <row r="42" spans="2:6" ht="12.75" customHeight="1" x14ac:dyDescent="0.2">
      <c r="B42" s="174"/>
      <c r="C42" s="174"/>
      <c r="D42" s="174"/>
      <c r="E42" s="174"/>
      <c r="F42" s="174"/>
    </row>
    <row r="43" spans="2:6" ht="12.75" customHeight="1" x14ac:dyDescent="0.2">
      <c r="B43" s="174"/>
      <c r="C43" s="174"/>
      <c r="D43" s="174"/>
      <c r="E43" s="174"/>
      <c r="F43" s="174"/>
    </row>
    <row r="44" spans="2:6" ht="12.75" customHeight="1" x14ac:dyDescent="0.2">
      <c r="B44" s="174"/>
      <c r="C44" s="174"/>
      <c r="D44" s="174"/>
      <c r="E44" s="174"/>
      <c r="F44" s="174"/>
    </row>
    <row r="45" spans="2:6" ht="12.75" customHeight="1" x14ac:dyDescent="0.2">
      <c r="B45" s="174"/>
      <c r="C45" s="174"/>
      <c r="D45" s="174"/>
      <c r="E45" s="174"/>
      <c r="F45" s="174"/>
    </row>
    <row r="46" spans="2:6" ht="12.75" customHeight="1" x14ac:dyDescent="0.2">
      <c r="B46" s="174"/>
      <c r="C46" s="174"/>
      <c r="D46" s="174"/>
      <c r="E46" s="174"/>
      <c r="F46" s="174"/>
    </row>
    <row r="47" spans="2:6" ht="12.75" customHeight="1" x14ac:dyDescent="0.2">
      <c r="B47" s="174"/>
      <c r="C47" s="174"/>
      <c r="D47" s="174"/>
      <c r="E47" s="174"/>
      <c r="F47" s="174"/>
    </row>
    <row r="48" spans="2:6" ht="12.75" customHeight="1" x14ac:dyDescent="0.2">
      <c r="B48" s="174"/>
      <c r="C48" s="174"/>
      <c r="D48" s="174"/>
      <c r="E48" s="174"/>
      <c r="F48" s="174"/>
    </row>
    <row r="49" spans="2:6" ht="12.75" customHeight="1" x14ac:dyDescent="0.2">
      <c r="B49" s="174"/>
      <c r="C49" s="174"/>
      <c r="D49" s="174"/>
      <c r="E49" s="174"/>
      <c r="F49" s="174"/>
    </row>
    <row r="50" spans="2:6" ht="12.75" customHeight="1" x14ac:dyDescent="0.2">
      <c r="B50" s="174"/>
      <c r="C50" s="174"/>
      <c r="D50" s="174"/>
      <c r="E50" s="174"/>
      <c r="F50" s="174"/>
    </row>
    <row r="51" spans="2:6" ht="12.75" customHeight="1" x14ac:dyDescent="0.2">
      <c r="B51" s="174"/>
      <c r="C51" s="174"/>
      <c r="D51" s="174"/>
      <c r="E51" s="174"/>
      <c r="F51" s="174"/>
    </row>
    <row r="52" spans="2:6" ht="12.75" customHeight="1" x14ac:dyDescent="0.2">
      <c r="B52" s="174"/>
      <c r="C52" s="174"/>
      <c r="D52" s="174"/>
      <c r="E52" s="174"/>
      <c r="F52" s="174"/>
    </row>
    <row r="53" spans="2:6" ht="12.75" customHeight="1" x14ac:dyDescent="0.2">
      <c r="B53" s="174"/>
      <c r="C53" s="174"/>
      <c r="D53" s="174"/>
      <c r="E53" s="174"/>
      <c r="F53" s="174"/>
    </row>
    <row r="54" spans="2:6" ht="12.75" customHeight="1" x14ac:dyDescent="0.2">
      <c r="B54" s="174"/>
      <c r="C54" s="174"/>
      <c r="D54" s="174"/>
      <c r="E54" s="174"/>
      <c r="F54" s="174"/>
    </row>
    <row r="55" spans="2:6" ht="12.75" customHeight="1" x14ac:dyDescent="0.2">
      <c r="B55" s="174"/>
      <c r="C55" s="174"/>
      <c r="D55" s="174"/>
      <c r="E55" s="174"/>
      <c r="F55" s="174"/>
    </row>
    <row r="56" spans="2:6" ht="12.75" customHeight="1" x14ac:dyDescent="0.2">
      <c r="B56" s="174"/>
      <c r="C56" s="174"/>
      <c r="D56" s="174"/>
      <c r="E56" s="174"/>
      <c r="F56" s="174"/>
    </row>
    <row r="57" spans="2:6" ht="12.75" customHeight="1" x14ac:dyDescent="0.2">
      <c r="B57" s="174"/>
      <c r="C57" s="174"/>
      <c r="D57" s="174"/>
      <c r="E57" s="174"/>
      <c r="F57" s="174"/>
    </row>
    <row r="58" spans="2:6" ht="12.75" customHeight="1" x14ac:dyDescent="0.2">
      <c r="B58" s="174"/>
      <c r="C58" s="174"/>
      <c r="D58" s="174"/>
      <c r="E58" s="174"/>
      <c r="F58" s="174"/>
    </row>
    <row r="59" spans="2:6" ht="12.75" customHeight="1" x14ac:dyDescent="0.2">
      <c r="B59" s="174"/>
      <c r="C59" s="174"/>
      <c r="D59" s="174"/>
      <c r="E59" s="174"/>
      <c r="F59" s="174"/>
    </row>
    <row r="60" spans="2:6" ht="12.75" customHeight="1" x14ac:dyDescent="0.2">
      <c r="B60" s="174"/>
      <c r="C60" s="174"/>
      <c r="D60" s="174"/>
      <c r="E60" s="174"/>
      <c r="F60" s="174"/>
    </row>
    <row r="61" spans="2:6" ht="12.75" customHeight="1" x14ac:dyDescent="0.2">
      <c r="B61" s="174"/>
      <c r="C61" s="174"/>
      <c r="D61" s="174"/>
      <c r="E61" s="174"/>
      <c r="F61" s="174"/>
    </row>
    <row r="62" spans="2:6" ht="12.75" customHeight="1" x14ac:dyDescent="0.2">
      <c r="B62" s="174"/>
      <c r="C62" s="174"/>
      <c r="D62" s="174"/>
      <c r="E62" s="174"/>
      <c r="F62" s="174"/>
    </row>
    <row r="63" spans="2:6" ht="12.75" customHeight="1" x14ac:dyDescent="0.2">
      <c r="B63" s="174"/>
      <c r="C63" s="174"/>
      <c r="D63" s="174"/>
      <c r="E63" s="174"/>
      <c r="F63" s="174"/>
    </row>
    <row r="64" spans="2:6" ht="12.75" customHeight="1" x14ac:dyDescent="0.2">
      <c r="B64" s="174"/>
      <c r="C64" s="174"/>
      <c r="D64" s="174"/>
      <c r="E64" s="174"/>
      <c r="F64" s="174"/>
    </row>
    <row r="65" spans="2:6" ht="12.75" customHeight="1" x14ac:dyDescent="0.2">
      <c r="B65" s="174"/>
      <c r="C65" s="174"/>
      <c r="D65" s="174"/>
      <c r="E65" s="174"/>
      <c r="F65" s="174"/>
    </row>
    <row r="66" spans="2:6" ht="12.75" customHeight="1" x14ac:dyDescent="0.2">
      <c r="B66" s="174"/>
      <c r="C66" s="174"/>
      <c r="D66" s="174"/>
      <c r="E66" s="174"/>
      <c r="F66" s="174"/>
    </row>
    <row r="67" spans="2:6" ht="12.75" customHeight="1" x14ac:dyDescent="0.2">
      <c r="B67" s="174"/>
      <c r="C67" s="174"/>
      <c r="D67" s="174"/>
      <c r="E67" s="174"/>
      <c r="F67" s="174"/>
    </row>
    <row r="68" spans="2:6" ht="12.75" customHeight="1" x14ac:dyDescent="0.2">
      <c r="B68" s="174"/>
      <c r="C68" s="174"/>
      <c r="D68" s="174"/>
      <c r="E68" s="174"/>
      <c r="F68" s="174"/>
    </row>
    <row r="69" spans="2:6" ht="12.75" customHeight="1" x14ac:dyDescent="0.2">
      <c r="B69" s="174"/>
      <c r="C69" s="174"/>
      <c r="D69" s="174"/>
      <c r="E69" s="174"/>
      <c r="F69" s="174"/>
    </row>
    <row r="70" spans="2:6" ht="12.75" customHeight="1" x14ac:dyDescent="0.2">
      <c r="B70" s="174"/>
      <c r="C70" s="174"/>
      <c r="D70" s="174"/>
      <c r="E70" s="174"/>
      <c r="F70" s="174"/>
    </row>
    <row r="71" spans="2:6" ht="12.75" customHeight="1" x14ac:dyDescent="0.2">
      <c r="B71" s="174"/>
      <c r="C71" s="174"/>
      <c r="D71" s="174"/>
      <c r="E71" s="174"/>
      <c r="F71" s="174"/>
    </row>
    <row r="72" spans="2:6" ht="12.75" customHeight="1" x14ac:dyDescent="0.2">
      <c r="B72" s="174"/>
      <c r="C72" s="174"/>
      <c r="D72" s="174"/>
      <c r="E72" s="174"/>
      <c r="F72" s="174"/>
    </row>
    <row r="73" spans="2:6" ht="12.75" customHeight="1" x14ac:dyDescent="0.2">
      <c r="B73" s="174"/>
      <c r="C73" s="174"/>
      <c r="D73" s="174"/>
      <c r="E73" s="174"/>
      <c r="F73" s="174"/>
    </row>
    <row r="74" spans="2:6" ht="12.75" customHeight="1" x14ac:dyDescent="0.2">
      <c r="B74" s="174"/>
      <c r="C74" s="174"/>
      <c r="D74" s="174"/>
      <c r="E74" s="174"/>
      <c r="F74" s="174"/>
    </row>
    <row r="75" spans="2:6" ht="12.75" customHeight="1" x14ac:dyDescent="0.2">
      <c r="B75" s="174"/>
      <c r="C75" s="174"/>
      <c r="D75" s="174"/>
      <c r="E75" s="174"/>
      <c r="F75" s="174"/>
    </row>
    <row r="76" spans="2:6" ht="12.75" customHeight="1" x14ac:dyDescent="0.2">
      <c r="B76" s="174"/>
      <c r="C76" s="174"/>
      <c r="D76" s="174"/>
      <c r="E76" s="174"/>
      <c r="F76" s="174"/>
    </row>
    <row r="77" spans="2:6" ht="12.75" customHeight="1" x14ac:dyDescent="0.2">
      <c r="B77" s="174"/>
      <c r="C77" s="174"/>
      <c r="D77" s="174"/>
      <c r="E77" s="174"/>
      <c r="F77" s="174"/>
    </row>
    <row r="78" spans="2:6" ht="12.75" customHeight="1" x14ac:dyDescent="0.2">
      <c r="B78" s="174"/>
      <c r="C78" s="174"/>
      <c r="D78" s="174"/>
      <c r="E78" s="174"/>
      <c r="F78" s="174"/>
    </row>
    <row r="79" spans="2:6" ht="12.75" customHeight="1" x14ac:dyDescent="0.2">
      <c r="B79" s="174"/>
      <c r="C79" s="174"/>
      <c r="D79" s="174"/>
      <c r="E79" s="174"/>
      <c r="F79" s="174"/>
    </row>
    <row r="80" spans="2:6" ht="12.75" customHeight="1" x14ac:dyDescent="0.2">
      <c r="B80" s="174"/>
      <c r="C80" s="174"/>
      <c r="D80" s="174"/>
      <c r="E80" s="174"/>
      <c r="F80" s="174"/>
    </row>
    <row r="81" spans="2:6" ht="12.75" customHeight="1" x14ac:dyDescent="0.2">
      <c r="B81" s="174"/>
      <c r="C81" s="174"/>
      <c r="D81" s="174"/>
      <c r="E81" s="174"/>
      <c r="F81" s="174"/>
    </row>
    <row r="82" spans="2:6" ht="12.75" customHeight="1" x14ac:dyDescent="0.2">
      <c r="B82" s="174"/>
      <c r="C82" s="174"/>
      <c r="D82" s="174"/>
      <c r="E82" s="174"/>
      <c r="F82" s="174"/>
    </row>
    <row r="83" spans="2:6" ht="12.75" customHeight="1" x14ac:dyDescent="0.2">
      <c r="B83" s="174"/>
      <c r="C83" s="174"/>
      <c r="D83" s="174"/>
      <c r="E83" s="174"/>
      <c r="F83" s="174"/>
    </row>
    <row r="84" spans="2:6" ht="12.75" customHeight="1" x14ac:dyDescent="0.2">
      <c r="B84" s="174"/>
      <c r="C84" s="174"/>
      <c r="D84" s="174"/>
      <c r="E84" s="174"/>
      <c r="F84" s="174"/>
    </row>
    <row r="85" spans="2:6" ht="12.75" customHeight="1" x14ac:dyDescent="0.2">
      <c r="B85" s="174"/>
      <c r="C85" s="174"/>
      <c r="D85" s="174"/>
      <c r="E85" s="174"/>
      <c r="F85" s="174"/>
    </row>
    <row r="86" spans="2:6" ht="12.75" customHeight="1" x14ac:dyDescent="0.2">
      <c r="B86" s="174"/>
      <c r="C86" s="174"/>
      <c r="D86" s="174"/>
      <c r="E86" s="174"/>
      <c r="F86" s="174"/>
    </row>
    <row r="87" spans="2:6" ht="12.75" customHeight="1" x14ac:dyDescent="0.2">
      <c r="B87" s="174"/>
      <c r="C87" s="174"/>
      <c r="D87" s="174"/>
      <c r="E87" s="174"/>
      <c r="F87" s="174"/>
    </row>
    <row r="88" spans="2:6" ht="12.75" customHeight="1" x14ac:dyDescent="0.2">
      <c r="B88" s="174"/>
      <c r="C88" s="174"/>
      <c r="D88" s="174"/>
      <c r="E88" s="174"/>
      <c r="F88" s="174"/>
    </row>
    <row r="89" spans="2:6" ht="12.75" customHeight="1" x14ac:dyDescent="0.2">
      <c r="B89" s="174"/>
      <c r="C89" s="174"/>
      <c r="D89" s="174"/>
      <c r="E89" s="174"/>
      <c r="F89" s="174"/>
    </row>
    <row r="90" spans="2:6" ht="12.75" customHeight="1" x14ac:dyDescent="0.2">
      <c r="B90" s="174"/>
      <c r="C90" s="174"/>
      <c r="D90" s="174"/>
      <c r="E90" s="174"/>
      <c r="F90" s="174"/>
    </row>
    <row r="91" spans="2:6" ht="12.75" customHeight="1" x14ac:dyDescent="0.2">
      <c r="B91" s="174"/>
      <c r="C91" s="174"/>
      <c r="D91" s="174"/>
      <c r="E91" s="174"/>
      <c r="F91" s="174"/>
    </row>
    <row r="92" spans="2:6" ht="12.75" customHeight="1" x14ac:dyDescent="0.2">
      <c r="B92" s="174"/>
      <c r="C92" s="174"/>
      <c r="D92" s="174"/>
      <c r="E92" s="174"/>
      <c r="F92" s="174"/>
    </row>
    <row r="93" spans="2:6" ht="12.75" customHeight="1" x14ac:dyDescent="0.2">
      <c r="B93" s="174"/>
      <c r="C93" s="174"/>
      <c r="D93" s="174"/>
      <c r="E93" s="174"/>
      <c r="F93" s="174"/>
    </row>
    <row r="94" spans="2:6" ht="12.75" customHeight="1" x14ac:dyDescent="0.2">
      <c r="B94" s="174"/>
      <c r="C94" s="174"/>
      <c r="D94" s="174"/>
      <c r="E94" s="174"/>
      <c r="F94" s="174"/>
    </row>
    <row r="95" spans="2:6" ht="12.75" customHeight="1" x14ac:dyDescent="0.2">
      <c r="B95" s="174"/>
      <c r="C95" s="174"/>
      <c r="D95" s="174"/>
      <c r="E95" s="174"/>
      <c r="F95" s="174"/>
    </row>
    <row r="96" spans="2:6" ht="12.75" customHeight="1" x14ac:dyDescent="0.2">
      <c r="B96" s="174"/>
      <c r="C96" s="174"/>
      <c r="D96" s="174"/>
      <c r="E96" s="174"/>
      <c r="F96" s="174"/>
    </row>
    <row r="97" spans="2:6" ht="12.75" customHeight="1" x14ac:dyDescent="0.2">
      <c r="B97" s="174"/>
      <c r="C97" s="174"/>
      <c r="D97" s="174"/>
      <c r="E97" s="174"/>
      <c r="F97" s="174"/>
    </row>
    <row r="98" spans="2:6" ht="12.75" customHeight="1" x14ac:dyDescent="0.2">
      <c r="B98" s="174"/>
      <c r="C98" s="174"/>
      <c r="D98" s="174"/>
      <c r="E98" s="174"/>
      <c r="F98" s="174"/>
    </row>
    <row r="99" spans="2:6" ht="12.75" customHeight="1" x14ac:dyDescent="0.2">
      <c r="B99" s="174"/>
      <c r="C99" s="174"/>
      <c r="D99" s="174"/>
      <c r="E99" s="174"/>
      <c r="F99" s="174"/>
    </row>
    <row r="100" spans="2:6" ht="12.75" customHeight="1" x14ac:dyDescent="0.2">
      <c r="B100" s="174"/>
      <c r="C100" s="174"/>
      <c r="D100" s="174"/>
      <c r="E100" s="174"/>
      <c r="F100" s="174"/>
    </row>
    <row r="101" spans="2:6" ht="12.75" customHeight="1" x14ac:dyDescent="0.2">
      <c r="B101" s="174"/>
      <c r="C101" s="174"/>
      <c r="D101" s="174"/>
      <c r="E101" s="174"/>
      <c r="F101" s="174"/>
    </row>
    <row r="102" spans="2:6" ht="12.75" customHeight="1" x14ac:dyDescent="0.2">
      <c r="B102" s="174"/>
      <c r="C102" s="174"/>
      <c r="D102" s="174"/>
      <c r="E102" s="174"/>
      <c r="F102" s="174"/>
    </row>
    <row r="103" spans="2:6" ht="12.75" customHeight="1" x14ac:dyDescent="0.2">
      <c r="B103" s="174"/>
      <c r="C103" s="174"/>
      <c r="D103" s="174"/>
      <c r="E103" s="174"/>
      <c r="F103" s="174"/>
    </row>
    <row r="104" spans="2:6" ht="12.75" customHeight="1" x14ac:dyDescent="0.2">
      <c r="B104" s="174"/>
      <c r="C104" s="174"/>
      <c r="D104" s="174"/>
      <c r="E104" s="174"/>
      <c r="F104" s="174"/>
    </row>
    <row r="105" spans="2:6" ht="12.75" customHeight="1" x14ac:dyDescent="0.2">
      <c r="B105" s="174"/>
      <c r="C105" s="174"/>
      <c r="D105" s="174"/>
      <c r="E105" s="174"/>
      <c r="F105" s="174"/>
    </row>
    <row r="106" spans="2:6" ht="12.75" customHeight="1" x14ac:dyDescent="0.2">
      <c r="B106" s="174"/>
      <c r="C106" s="174"/>
      <c r="D106" s="174"/>
      <c r="E106" s="174"/>
      <c r="F106" s="174"/>
    </row>
    <row r="107" spans="2:6" ht="12.75" customHeight="1" x14ac:dyDescent="0.2">
      <c r="B107" s="174"/>
      <c r="C107" s="174"/>
      <c r="D107" s="174"/>
      <c r="E107" s="174"/>
      <c r="F107" s="174"/>
    </row>
    <row r="108" spans="2:6" ht="12.75" customHeight="1" x14ac:dyDescent="0.2">
      <c r="B108" s="174"/>
      <c r="C108" s="174"/>
      <c r="D108" s="174"/>
      <c r="E108" s="174"/>
      <c r="F108" s="174"/>
    </row>
    <row r="109" spans="2:6" ht="12.75" customHeight="1" x14ac:dyDescent="0.2">
      <c r="B109" s="174"/>
      <c r="C109" s="174"/>
      <c r="D109" s="174"/>
      <c r="E109" s="174"/>
      <c r="F109" s="174"/>
    </row>
    <row r="110" spans="2:6" ht="12.75" customHeight="1" x14ac:dyDescent="0.2">
      <c r="B110" s="174"/>
      <c r="C110" s="174"/>
      <c r="D110" s="174"/>
      <c r="E110" s="174"/>
      <c r="F110" s="174"/>
    </row>
    <row r="111" spans="2:6" ht="12.75" customHeight="1" x14ac:dyDescent="0.2">
      <c r="B111" s="174"/>
      <c r="C111" s="174"/>
      <c r="D111" s="174"/>
      <c r="E111" s="174"/>
      <c r="F111" s="174"/>
    </row>
    <row r="112" spans="2:6" ht="12.75" customHeight="1" x14ac:dyDescent="0.2">
      <c r="B112" s="174"/>
      <c r="C112" s="174"/>
      <c r="D112" s="174"/>
      <c r="E112" s="174"/>
      <c r="F112" s="174"/>
    </row>
    <row r="113" spans="2:6" ht="12.75" customHeight="1" x14ac:dyDescent="0.2">
      <c r="B113" s="174"/>
      <c r="C113" s="174"/>
      <c r="D113" s="174"/>
      <c r="E113" s="174"/>
      <c r="F113" s="174"/>
    </row>
    <row r="114" spans="2:6" ht="12.75" customHeight="1" x14ac:dyDescent="0.2">
      <c r="B114" s="174"/>
      <c r="C114" s="174"/>
      <c r="D114" s="174"/>
      <c r="E114" s="174"/>
      <c r="F114" s="174"/>
    </row>
    <row r="115" spans="2:6" ht="12.75" customHeight="1" x14ac:dyDescent="0.2">
      <c r="B115" s="174"/>
      <c r="C115" s="174"/>
      <c r="D115" s="174"/>
      <c r="E115" s="174"/>
      <c r="F115" s="174"/>
    </row>
    <row r="116" spans="2:6" ht="12.75" customHeight="1" x14ac:dyDescent="0.2">
      <c r="B116" s="174"/>
      <c r="C116" s="174"/>
      <c r="D116" s="174"/>
      <c r="E116" s="174"/>
      <c r="F116" s="174"/>
    </row>
    <row r="117" spans="2:6" ht="12.75" customHeight="1" x14ac:dyDescent="0.2">
      <c r="B117" s="174"/>
      <c r="C117" s="174"/>
      <c r="D117" s="174"/>
      <c r="E117" s="174"/>
      <c r="F117" s="174"/>
    </row>
    <row r="118" spans="2:6" ht="12.75" customHeight="1" x14ac:dyDescent="0.2">
      <c r="B118" s="174"/>
      <c r="C118" s="174"/>
      <c r="D118" s="174"/>
      <c r="E118" s="174"/>
      <c r="F118" s="174"/>
    </row>
    <row r="119" spans="2:6" ht="12.75" customHeight="1" x14ac:dyDescent="0.2">
      <c r="B119" s="174"/>
      <c r="C119" s="174"/>
      <c r="D119" s="174"/>
      <c r="E119" s="174"/>
      <c r="F119" s="174"/>
    </row>
    <row r="120" spans="2:6" ht="12.75" customHeight="1" x14ac:dyDescent="0.2">
      <c r="B120" s="174"/>
      <c r="C120" s="174"/>
      <c r="D120" s="174"/>
      <c r="E120" s="174"/>
      <c r="F120" s="174"/>
    </row>
    <row r="121" spans="2:6" ht="12.75" customHeight="1" x14ac:dyDescent="0.2">
      <c r="B121" s="174"/>
      <c r="C121" s="174"/>
      <c r="D121" s="174"/>
      <c r="E121" s="174"/>
      <c r="F121" s="174"/>
    </row>
    <row r="122" spans="2:6" ht="12.75" customHeight="1" x14ac:dyDescent="0.2">
      <c r="B122" s="174"/>
      <c r="C122" s="174"/>
      <c r="D122" s="174"/>
      <c r="E122" s="174"/>
      <c r="F122" s="174"/>
    </row>
    <row r="123" spans="2:6" ht="12.75" customHeight="1" x14ac:dyDescent="0.2">
      <c r="B123" s="174"/>
      <c r="C123" s="174"/>
      <c r="D123" s="174"/>
      <c r="E123" s="174"/>
      <c r="F123" s="174"/>
    </row>
    <row r="124" spans="2:6" ht="12.75" customHeight="1" x14ac:dyDescent="0.2">
      <c r="B124" s="174"/>
      <c r="C124" s="174"/>
      <c r="D124" s="174"/>
      <c r="E124" s="174"/>
      <c r="F124" s="174"/>
    </row>
    <row r="125" spans="2:6" ht="12.75" customHeight="1" x14ac:dyDescent="0.2">
      <c r="B125" s="174"/>
      <c r="C125" s="174"/>
      <c r="D125" s="174"/>
      <c r="E125" s="174"/>
      <c r="F125" s="174"/>
    </row>
    <row r="126" spans="2:6" ht="12.75" customHeight="1" x14ac:dyDescent="0.2">
      <c r="B126" s="174"/>
      <c r="C126" s="174"/>
      <c r="D126" s="174"/>
      <c r="E126" s="174"/>
      <c r="F126" s="174"/>
    </row>
    <row r="127" spans="2:6" ht="12.75" customHeight="1" x14ac:dyDescent="0.2">
      <c r="B127" s="174"/>
      <c r="C127" s="174"/>
      <c r="D127" s="174"/>
      <c r="E127" s="174"/>
      <c r="F127" s="174"/>
    </row>
    <row r="128" spans="2:6" ht="12.75" customHeight="1" x14ac:dyDescent="0.2">
      <c r="B128" s="174"/>
      <c r="C128" s="174"/>
      <c r="D128" s="174"/>
      <c r="E128" s="174"/>
      <c r="F128" s="174"/>
    </row>
    <row r="129" spans="2:6" ht="12.75" customHeight="1" x14ac:dyDescent="0.2">
      <c r="B129" s="174"/>
      <c r="C129" s="174"/>
      <c r="D129" s="174"/>
      <c r="E129" s="174"/>
      <c r="F129" s="174"/>
    </row>
    <row r="130" spans="2:6" ht="12.75" customHeight="1" x14ac:dyDescent="0.2">
      <c r="B130" s="174"/>
      <c r="C130" s="174"/>
      <c r="D130" s="174"/>
      <c r="E130" s="174"/>
      <c r="F130" s="174"/>
    </row>
    <row r="131" spans="2:6" ht="12.75" customHeight="1" x14ac:dyDescent="0.2">
      <c r="B131" s="174"/>
      <c r="C131" s="174"/>
      <c r="D131" s="174"/>
      <c r="E131" s="174"/>
      <c r="F131" s="174"/>
    </row>
    <row r="132" spans="2:6" ht="12.75" customHeight="1" x14ac:dyDescent="0.2">
      <c r="B132" s="174"/>
      <c r="C132" s="174"/>
      <c r="D132" s="174"/>
      <c r="E132" s="174"/>
      <c r="F132" s="174"/>
    </row>
    <row r="133" spans="2:6" ht="12.75" customHeight="1" x14ac:dyDescent="0.2">
      <c r="B133" s="174"/>
      <c r="C133" s="174"/>
      <c r="D133" s="174"/>
      <c r="E133" s="174"/>
      <c r="F133" s="174"/>
    </row>
    <row r="134" spans="2:6" ht="12.75" customHeight="1" x14ac:dyDescent="0.2">
      <c r="B134" s="174"/>
      <c r="C134" s="174"/>
      <c r="D134" s="174"/>
      <c r="E134" s="174"/>
      <c r="F134" s="174"/>
    </row>
    <row r="135" spans="2:6" ht="12.75" customHeight="1" x14ac:dyDescent="0.2">
      <c r="B135" s="174"/>
      <c r="C135" s="174"/>
      <c r="D135" s="174"/>
      <c r="E135" s="174"/>
      <c r="F135" s="174"/>
    </row>
    <row r="136" spans="2:6" ht="12.75" customHeight="1" x14ac:dyDescent="0.2">
      <c r="B136" s="174"/>
      <c r="C136" s="174"/>
      <c r="D136" s="174"/>
      <c r="E136" s="174"/>
      <c r="F136" s="174"/>
    </row>
    <row r="137" spans="2:6" ht="12.75" customHeight="1" x14ac:dyDescent="0.2">
      <c r="B137" s="174"/>
      <c r="C137" s="174"/>
      <c r="D137" s="174"/>
      <c r="E137" s="174"/>
      <c r="F137" s="174"/>
    </row>
    <row r="138" spans="2:6" ht="12.75" customHeight="1" x14ac:dyDescent="0.2">
      <c r="B138" s="174"/>
      <c r="C138" s="174"/>
      <c r="D138" s="174"/>
      <c r="E138" s="174"/>
      <c r="F138" s="174"/>
    </row>
    <row r="139" spans="2:6" ht="12.75" customHeight="1" x14ac:dyDescent="0.2">
      <c r="B139" s="174"/>
      <c r="C139" s="174"/>
      <c r="D139" s="174"/>
      <c r="E139" s="174"/>
      <c r="F139" s="174"/>
    </row>
    <row r="140" spans="2:6" ht="12.75" customHeight="1" x14ac:dyDescent="0.2">
      <c r="B140" s="174"/>
      <c r="C140" s="174"/>
      <c r="D140" s="174"/>
      <c r="E140" s="174"/>
      <c r="F140" s="174"/>
    </row>
    <row r="141" spans="2:6" ht="12.75" customHeight="1" x14ac:dyDescent="0.2">
      <c r="B141" s="174"/>
      <c r="C141" s="174"/>
      <c r="D141" s="174"/>
      <c r="E141" s="174"/>
      <c r="F141" s="174"/>
    </row>
    <row r="142" spans="2:6" ht="12.75" customHeight="1" x14ac:dyDescent="0.2">
      <c r="B142" s="174"/>
      <c r="C142" s="174"/>
      <c r="D142" s="174"/>
      <c r="E142" s="174"/>
      <c r="F142" s="174"/>
    </row>
    <row r="143" spans="2:6" ht="12.75" customHeight="1" x14ac:dyDescent="0.2">
      <c r="B143" s="174"/>
      <c r="C143" s="174"/>
      <c r="D143" s="174"/>
      <c r="E143" s="174"/>
      <c r="F143" s="174"/>
    </row>
    <row r="144" spans="2:6" ht="12.75" customHeight="1" x14ac:dyDescent="0.2">
      <c r="B144" s="174"/>
      <c r="C144" s="174"/>
      <c r="D144" s="174"/>
      <c r="E144" s="174"/>
      <c r="F144" s="174"/>
    </row>
    <row r="145" spans="2:6" ht="12.75" customHeight="1" x14ac:dyDescent="0.2">
      <c r="B145" s="174"/>
      <c r="C145" s="174"/>
      <c r="D145" s="174"/>
      <c r="E145" s="174"/>
      <c r="F145" s="174"/>
    </row>
    <row r="146" spans="2:6" ht="12.75" customHeight="1" x14ac:dyDescent="0.2">
      <c r="B146" s="174"/>
      <c r="C146" s="174"/>
      <c r="D146" s="174"/>
      <c r="E146" s="174"/>
      <c r="F146" s="174"/>
    </row>
    <row r="147" spans="2:6" ht="12.75" customHeight="1" x14ac:dyDescent="0.2">
      <c r="B147" s="174"/>
      <c r="C147" s="174"/>
      <c r="D147" s="174"/>
      <c r="E147" s="174"/>
      <c r="F147" s="174"/>
    </row>
    <row r="148" spans="2:6" ht="12.75" customHeight="1" x14ac:dyDescent="0.2">
      <c r="B148" s="174"/>
      <c r="C148" s="174"/>
      <c r="D148" s="174"/>
      <c r="E148" s="174"/>
      <c r="F148" s="174"/>
    </row>
    <row r="149" spans="2:6" ht="12.75" customHeight="1" x14ac:dyDescent="0.2">
      <c r="B149" s="174"/>
      <c r="C149" s="174"/>
      <c r="D149" s="174"/>
      <c r="E149" s="174"/>
      <c r="F149" s="174"/>
    </row>
    <row r="150" spans="2:6" ht="12.75" customHeight="1" x14ac:dyDescent="0.2">
      <c r="B150" s="174"/>
      <c r="C150" s="174"/>
      <c r="D150" s="174"/>
      <c r="E150" s="174"/>
      <c r="F150" s="174"/>
    </row>
    <row r="151" spans="2:6" ht="12.75" customHeight="1" x14ac:dyDescent="0.2">
      <c r="B151" s="174"/>
      <c r="C151" s="174"/>
      <c r="D151" s="174"/>
      <c r="E151" s="174"/>
      <c r="F151" s="174"/>
    </row>
    <row r="152" spans="2:6" ht="12.75" customHeight="1" x14ac:dyDescent="0.2">
      <c r="B152" s="174"/>
      <c r="C152" s="174"/>
      <c r="D152" s="174"/>
      <c r="E152" s="174"/>
      <c r="F152" s="174"/>
    </row>
    <row r="153" spans="2:6" ht="12.75" customHeight="1" x14ac:dyDescent="0.2">
      <c r="B153" s="174"/>
      <c r="C153" s="174"/>
      <c r="D153" s="174"/>
      <c r="E153" s="174"/>
      <c r="F153" s="174"/>
    </row>
    <row r="154" spans="2:6" ht="12.75" customHeight="1" x14ac:dyDescent="0.2">
      <c r="B154" s="174"/>
      <c r="C154" s="174"/>
      <c r="D154" s="174"/>
      <c r="E154" s="174"/>
      <c r="F154" s="174"/>
    </row>
    <row r="155" spans="2:6" ht="12.75" customHeight="1" x14ac:dyDescent="0.2">
      <c r="B155" s="174"/>
      <c r="C155" s="174"/>
      <c r="D155" s="174"/>
      <c r="E155" s="174"/>
      <c r="F155" s="174"/>
    </row>
    <row r="156" spans="2:6" ht="12.75" customHeight="1" x14ac:dyDescent="0.2">
      <c r="B156" s="174"/>
      <c r="C156" s="174"/>
      <c r="D156" s="174"/>
      <c r="E156" s="174"/>
      <c r="F156" s="174"/>
    </row>
    <row r="157" spans="2:6" ht="12.75" customHeight="1" x14ac:dyDescent="0.2">
      <c r="B157" s="174"/>
      <c r="C157" s="174"/>
      <c r="D157" s="174"/>
      <c r="E157" s="174"/>
      <c r="F157" s="174"/>
    </row>
    <row r="158" spans="2:6" ht="12.75" customHeight="1" x14ac:dyDescent="0.2">
      <c r="B158" s="174"/>
      <c r="C158" s="174"/>
      <c r="D158" s="174"/>
      <c r="E158" s="174"/>
      <c r="F158" s="174"/>
    </row>
    <row r="159" spans="2:6" ht="12.75" customHeight="1" x14ac:dyDescent="0.2">
      <c r="B159" s="174"/>
      <c r="C159" s="174"/>
      <c r="D159" s="174"/>
      <c r="E159" s="174"/>
      <c r="F159" s="174"/>
    </row>
    <row r="160" spans="2:6" ht="12.75" customHeight="1" x14ac:dyDescent="0.2">
      <c r="B160" s="174"/>
      <c r="C160" s="174"/>
      <c r="D160" s="174"/>
      <c r="E160" s="174"/>
      <c r="F160" s="174"/>
    </row>
    <row r="161" spans="2:6" ht="12.75" customHeight="1" x14ac:dyDescent="0.2">
      <c r="B161" s="174"/>
      <c r="C161" s="174"/>
      <c r="D161" s="174"/>
      <c r="E161" s="174"/>
      <c r="F161" s="174"/>
    </row>
    <row r="162" spans="2:6" ht="12.75" customHeight="1" x14ac:dyDescent="0.2">
      <c r="B162" s="174"/>
      <c r="C162" s="174"/>
      <c r="D162" s="174"/>
      <c r="E162" s="174"/>
      <c r="F162" s="174"/>
    </row>
    <row r="163" spans="2:6" ht="12.75" customHeight="1" x14ac:dyDescent="0.2">
      <c r="B163" s="174"/>
      <c r="C163" s="174"/>
      <c r="D163" s="174"/>
      <c r="E163" s="174"/>
      <c r="F163" s="174"/>
    </row>
    <row r="164" spans="2:6" ht="12.75" customHeight="1" x14ac:dyDescent="0.2">
      <c r="B164" s="174"/>
      <c r="C164" s="174"/>
      <c r="D164" s="174"/>
      <c r="E164" s="174"/>
      <c r="F164" s="174"/>
    </row>
    <row r="165" spans="2:6" ht="12.75" customHeight="1" x14ac:dyDescent="0.2">
      <c r="B165" s="174"/>
      <c r="C165" s="174"/>
      <c r="D165" s="174"/>
      <c r="E165" s="174"/>
      <c r="F165" s="174"/>
    </row>
    <row r="166" spans="2:6" ht="12.75" customHeight="1" x14ac:dyDescent="0.2">
      <c r="B166" s="174"/>
      <c r="C166" s="174"/>
      <c r="D166" s="174"/>
      <c r="E166" s="174"/>
      <c r="F166" s="174"/>
    </row>
    <row r="167" spans="2:6" ht="12.75" customHeight="1" x14ac:dyDescent="0.2">
      <c r="B167" s="174"/>
      <c r="C167" s="174"/>
      <c r="D167" s="174"/>
      <c r="E167" s="174"/>
      <c r="F167" s="174"/>
    </row>
    <row r="168" spans="2:6" ht="12.75" customHeight="1" x14ac:dyDescent="0.2">
      <c r="B168" s="174"/>
      <c r="C168" s="174"/>
      <c r="D168" s="174"/>
      <c r="E168" s="174"/>
      <c r="F168" s="174"/>
    </row>
    <row r="169" spans="2:6" ht="12.75" customHeight="1" x14ac:dyDescent="0.2">
      <c r="B169" s="174"/>
      <c r="C169" s="174"/>
      <c r="D169" s="174"/>
      <c r="E169" s="174"/>
      <c r="F169" s="174"/>
    </row>
    <row r="170" spans="2:6" ht="12.75" customHeight="1" x14ac:dyDescent="0.2">
      <c r="B170" s="174"/>
      <c r="C170" s="174"/>
      <c r="D170" s="174"/>
      <c r="E170" s="174"/>
      <c r="F170" s="174"/>
    </row>
    <row r="171" spans="2:6" ht="12.75" customHeight="1" x14ac:dyDescent="0.2">
      <c r="B171" s="174"/>
      <c r="C171" s="174"/>
      <c r="D171" s="174"/>
      <c r="E171" s="174"/>
      <c r="F171" s="174"/>
    </row>
    <row r="172" spans="2:6" ht="12.75" customHeight="1" x14ac:dyDescent="0.2">
      <c r="B172" s="174"/>
      <c r="C172" s="174"/>
      <c r="D172" s="174"/>
      <c r="E172" s="174"/>
      <c r="F172" s="174"/>
    </row>
    <row r="173" spans="2:6" ht="12.75" customHeight="1" x14ac:dyDescent="0.2">
      <c r="B173" s="174"/>
      <c r="C173" s="174"/>
      <c r="D173" s="174"/>
      <c r="E173" s="174"/>
      <c r="F173" s="174"/>
    </row>
    <row r="174" spans="2:6" ht="12.75" customHeight="1" x14ac:dyDescent="0.2">
      <c r="B174" s="174"/>
      <c r="C174" s="174"/>
      <c r="D174" s="174"/>
      <c r="E174" s="174"/>
      <c r="F174" s="174"/>
    </row>
    <row r="175" spans="2:6" ht="12.75" customHeight="1" x14ac:dyDescent="0.2">
      <c r="B175" s="174"/>
      <c r="C175" s="174"/>
      <c r="D175" s="174"/>
      <c r="E175" s="174"/>
      <c r="F175" s="174"/>
    </row>
    <row r="176" spans="2:6" ht="12.75" customHeight="1" x14ac:dyDescent="0.2">
      <c r="B176" s="174"/>
      <c r="C176" s="174"/>
      <c r="D176" s="174"/>
      <c r="E176" s="174"/>
      <c r="F176" s="174"/>
    </row>
    <row r="177" spans="2:6" ht="12.75" customHeight="1" x14ac:dyDescent="0.2">
      <c r="B177" s="174"/>
      <c r="C177" s="174"/>
      <c r="D177" s="174"/>
      <c r="E177" s="174"/>
      <c r="F177" s="174"/>
    </row>
    <row r="178" spans="2:6" ht="12.75" customHeight="1" x14ac:dyDescent="0.2">
      <c r="B178" s="174"/>
      <c r="C178" s="174"/>
      <c r="D178" s="174"/>
      <c r="E178" s="174"/>
      <c r="F178" s="174"/>
    </row>
    <row r="179" spans="2:6" ht="12.75" customHeight="1" x14ac:dyDescent="0.2">
      <c r="B179" s="174"/>
      <c r="C179" s="174"/>
      <c r="D179" s="174"/>
      <c r="E179" s="174"/>
      <c r="F179" s="174"/>
    </row>
    <row r="180" spans="2:6" ht="12.75" customHeight="1" x14ac:dyDescent="0.2">
      <c r="B180" s="174"/>
      <c r="C180" s="174"/>
      <c r="D180" s="174"/>
      <c r="E180" s="174"/>
      <c r="F180" s="174"/>
    </row>
    <row r="181" spans="2:6" ht="12.75" customHeight="1" x14ac:dyDescent="0.2">
      <c r="B181" s="174"/>
      <c r="C181" s="174"/>
      <c r="D181" s="174"/>
      <c r="E181" s="174"/>
      <c r="F181" s="174"/>
    </row>
    <row r="182" spans="2:6" ht="12.75" customHeight="1" x14ac:dyDescent="0.2">
      <c r="B182" s="174"/>
      <c r="C182" s="174"/>
      <c r="D182" s="174"/>
      <c r="E182" s="174"/>
      <c r="F182" s="174"/>
    </row>
    <row r="183" spans="2:6" ht="12.75" customHeight="1" x14ac:dyDescent="0.2">
      <c r="B183" s="174"/>
      <c r="C183" s="174"/>
      <c r="D183" s="174"/>
      <c r="E183" s="174"/>
      <c r="F183" s="174"/>
    </row>
    <row r="184" spans="2:6" ht="12.75" customHeight="1" x14ac:dyDescent="0.2">
      <c r="B184" s="174"/>
      <c r="C184" s="174"/>
      <c r="D184" s="174"/>
      <c r="E184" s="174"/>
      <c r="F184" s="174"/>
    </row>
    <row r="185" spans="2:6" ht="12.75" customHeight="1" x14ac:dyDescent="0.2">
      <c r="B185" s="174"/>
      <c r="C185" s="174"/>
      <c r="D185" s="174"/>
      <c r="E185" s="174"/>
      <c r="F185" s="174"/>
    </row>
    <row r="186" spans="2:6" ht="12.75" customHeight="1" x14ac:dyDescent="0.2">
      <c r="B186" s="174"/>
      <c r="C186" s="174"/>
      <c r="D186" s="174"/>
      <c r="E186" s="174"/>
      <c r="F186" s="174"/>
    </row>
    <row r="187" spans="2:6" ht="12.75" customHeight="1" x14ac:dyDescent="0.2">
      <c r="B187" s="174"/>
      <c r="C187" s="174"/>
      <c r="D187" s="174"/>
      <c r="E187" s="174"/>
      <c r="F187" s="174"/>
    </row>
    <row r="188" spans="2:6" ht="12.75" customHeight="1" x14ac:dyDescent="0.2">
      <c r="B188" s="174"/>
      <c r="C188" s="174"/>
      <c r="D188" s="174"/>
      <c r="E188" s="174"/>
      <c r="F188" s="174"/>
    </row>
    <row r="189" spans="2:6" ht="12.75" customHeight="1" x14ac:dyDescent="0.2">
      <c r="B189" s="174"/>
      <c r="C189" s="174"/>
      <c r="D189" s="174"/>
      <c r="E189" s="174"/>
      <c r="F189" s="174"/>
    </row>
    <row r="190" spans="2:6" ht="12.75" customHeight="1" x14ac:dyDescent="0.2">
      <c r="B190" s="174"/>
      <c r="C190" s="174"/>
      <c r="D190" s="174"/>
      <c r="E190" s="174"/>
      <c r="F190" s="174"/>
    </row>
    <row r="191" spans="2:6" ht="12.75" customHeight="1" x14ac:dyDescent="0.2">
      <c r="B191" s="174"/>
      <c r="C191" s="174"/>
      <c r="D191" s="174"/>
      <c r="E191" s="174"/>
      <c r="F191" s="174"/>
    </row>
    <row r="192" spans="2:6" ht="12.75" customHeight="1" x14ac:dyDescent="0.2">
      <c r="B192" s="174"/>
      <c r="C192" s="174"/>
      <c r="D192" s="174"/>
      <c r="E192" s="174"/>
      <c r="F192" s="174"/>
    </row>
    <row r="193" spans="2:6" ht="12.75" customHeight="1" x14ac:dyDescent="0.2">
      <c r="B193" s="174"/>
      <c r="C193" s="174"/>
      <c r="D193" s="174"/>
      <c r="E193" s="174"/>
      <c r="F193" s="174"/>
    </row>
    <row r="194" spans="2:6" ht="12.75" customHeight="1" x14ac:dyDescent="0.2">
      <c r="B194" s="174"/>
      <c r="C194" s="174"/>
      <c r="D194" s="174"/>
      <c r="E194" s="174"/>
      <c r="F194" s="174"/>
    </row>
    <row r="195" spans="2:6" ht="12.75" customHeight="1" x14ac:dyDescent="0.2">
      <c r="B195" s="174"/>
      <c r="C195" s="174"/>
      <c r="D195" s="174"/>
      <c r="E195" s="174"/>
      <c r="F195" s="174"/>
    </row>
    <row r="196" spans="2:6" ht="12.75" customHeight="1" x14ac:dyDescent="0.2">
      <c r="B196" s="174"/>
      <c r="C196" s="174"/>
      <c r="D196" s="174"/>
      <c r="E196" s="174"/>
      <c r="F196" s="174"/>
    </row>
    <row r="197" spans="2:6" ht="12.75" customHeight="1" x14ac:dyDescent="0.2">
      <c r="B197" s="174"/>
      <c r="C197" s="174"/>
      <c r="D197" s="174"/>
      <c r="E197" s="174"/>
      <c r="F197" s="174"/>
    </row>
    <row r="198" spans="2:6" ht="12.75" customHeight="1" x14ac:dyDescent="0.2">
      <c r="B198" s="174"/>
      <c r="C198" s="174"/>
      <c r="D198" s="174"/>
      <c r="E198" s="174"/>
      <c r="F198" s="174"/>
    </row>
    <row r="199" spans="2:6" ht="12.75" customHeight="1" x14ac:dyDescent="0.2">
      <c r="B199" s="174"/>
      <c r="C199" s="174"/>
      <c r="D199" s="174"/>
      <c r="E199" s="174"/>
      <c r="F199" s="174"/>
    </row>
    <row r="200" spans="2:6" ht="12.75" customHeight="1" x14ac:dyDescent="0.2">
      <c r="B200" s="174"/>
      <c r="C200" s="174"/>
      <c r="D200" s="174"/>
      <c r="E200" s="174"/>
      <c r="F200" s="174"/>
    </row>
    <row r="201" spans="2:6" ht="12.75" customHeight="1" x14ac:dyDescent="0.2">
      <c r="B201" s="174"/>
      <c r="C201" s="174"/>
      <c r="D201" s="174"/>
      <c r="E201" s="174"/>
      <c r="F201" s="174"/>
    </row>
    <row r="202" spans="2:6" ht="12.75" customHeight="1" x14ac:dyDescent="0.2">
      <c r="B202" s="174"/>
      <c r="C202" s="174"/>
      <c r="D202" s="174"/>
      <c r="E202" s="174"/>
      <c r="F202" s="174"/>
    </row>
    <row r="203" spans="2:6" ht="12.75" customHeight="1" x14ac:dyDescent="0.2">
      <c r="B203" s="174"/>
      <c r="C203" s="174"/>
      <c r="D203" s="174"/>
      <c r="E203" s="174"/>
      <c r="F203" s="174"/>
    </row>
    <row r="204" spans="2:6" ht="12.75" customHeight="1" x14ac:dyDescent="0.2">
      <c r="B204" s="174"/>
      <c r="C204" s="174"/>
      <c r="D204" s="174"/>
      <c r="E204" s="174"/>
      <c r="F204" s="174"/>
    </row>
    <row r="205" spans="2:6" ht="12.75" customHeight="1" x14ac:dyDescent="0.2">
      <c r="B205" s="174"/>
      <c r="C205" s="174"/>
      <c r="D205" s="174"/>
      <c r="E205" s="174"/>
      <c r="F205" s="174"/>
    </row>
    <row r="206" spans="2:6" ht="12.75" customHeight="1" x14ac:dyDescent="0.2">
      <c r="B206" s="174"/>
      <c r="C206" s="174"/>
      <c r="D206" s="174"/>
      <c r="E206" s="174"/>
      <c r="F206" s="174"/>
    </row>
    <row r="207" spans="2:6" ht="12.75" customHeight="1" x14ac:dyDescent="0.2">
      <c r="B207" s="174"/>
      <c r="C207" s="174"/>
      <c r="D207" s="174"/>
      <c r="E207" s="174"/>
      <c r="F207" s="174"/>
    </row>
    <row r="208" spans="2:6" ht="12.75" customHeight="1" x14ac:dyDescent="0.2">
      <c r="B208" s="174"/>
      <c r="C208" s="174"/>
      <c r="D208" s="174"/>
      <c r="E208" s="174"/>
      <c r="F208" s="174"/>
    </row>
    <row r="209" spans="2:6" ht="12.75" customHeight="1" x14ac:dyDescent="0.2">
      <c r="B209" s="174"/>
      <c r="C209" s="174"/>
      <c r="D209" s="174"/>
      <c r="E209" s="174"/>
      <c r="F209" s="174"/>
    </row>
    <row r="210" spans="2:6" ht="12.75" customHeight="1" x14ac:dyDescent="0.2">
      <c r="B210" s="174"/>
      <c r="C210" s="174"/>
      <c r="D210" s="174"/>
      <c r="E210" s="174"/>
      <c r="F210" s="174"/>
    </row>
    <row r="211" spans="2:6" ht="12.75" customHeight="1" x14ac:dyDescent="0.2">
      <c r="B211" s="174"/>
      <c r="C211" s="174"/>
      <c r="D211" s="174"/>
      <c r="E211" s="174"/>
      <c r="F211" s="174"/>
    </row>
    <row r="212" spans="2:6" ht="12.75" customHeight="1" x14ac:dyDescent="0.2">
      <c r="B212" s="174"/>
      <c r="C212" s="174"/>
      <c r="D212" s="174"/>
      <c r="E212" s="174"/>
      <c r="F212" s="174"/>
    </row>
    <row r="213" spans="2:6" ht="12.75" customHeight="1" x14ac:dyDescent="0.2">
      <c r="B213" s="174"/>
      <c r="C213" s="174"/>
      <c r="D213" s="174"/>
      <c r="E213" s="174"/>
      <c r="F213" s="174"/>
    </row>
    <row r="214" spans="2:6" ht="12.75" customHeight="1" x14ac:dyDescent="0.2">
      <c r="B214" s="174"/>
      <c r="C214" s="174"/>
      <c r="D214" s="174"/>
      <c r="E214" s="174"/>
      <c r="F214" s="174"/>
    </row>
    <row r="215" spans="2:6" ht="12.75" customHeight="1" x14ac:dyDescent="0.2">
      <c r="B215" s="174"/>
      <c r="C215" s="174"/>
      <c r="D215" s="174"/>
      <c r="E215" s="174"/>
      <c r="F215" s="174"/>
    </row>
    <row r="216" spans="2:6" ht="12.75" customHeight="1" x14ac:dyDescent="0.2">
      <c r="B216" s="174"/>
      <c r="C216" s="174"/>
      <c r="D216" s="174"/>
      <c r="E216" s="174"/>
      <c r="F216" s="174"/>
    </row>
    <row r="217" spans="2:6" ht="12.75" customHeight="1" x14ac:dyDescent="0.2">
      <c r="B217" s="174"/>
      <c r="C217" s="174"/>
      <c r="D217" s="174"/>
      <c r="E217" s="174"/>
      <c r="F217" s="174"/>
    </row>
    <row r="218" spans="2:6" ht="12.75" customHeight="1" x14ac:dyDescent="0.2">
      <c r="B218" s="174"/>
      <c r="C218" s="174"/>
      <c r="D218" s="174"/>
      <c r="E218" s="174"/>
      <c r="F218" s="174"/>
    </row>
    <row r="219" spans="2:6" ht="12.75" customHeight="1" x14ac:dyDescent="0.2">
      <c r="B219" s="174"/>
      <c r="C219" s="174"/>
      <c r="D219" s="174"/>
      <c r="E219" s="174"/>
      <c r="F219" s="174"/>
    </row>
    <row r="220" spans="2:6" ht="12.75" customHeight="1" x14ac:dyDescent="0.2">
      <c r="B220" s="174"/>
      <c r="C220" s="174"/>
      <c r="D220" s="174"/>
      <c r="E220" s="174"/>
      <c r="F220" s="174"/>
    </row>
    <row r="221" spans="2:6" ht="12.75" customHeight="1" x14ac:dyDescent="0.2">
      <c r="B221" s="174"/>
      <c r="C221" s="174"/>
      <c r="D221" s="174"/>
      <c r="E221" s="174"/>
      <c r="F221" s="174"/>
    </row>
    <row r="222" spans="2:6" ht="12.75" customHeight="1" x14ac:dyDescent="0.2">
      <c r="B222" s="174"/>
      <c r="C222" s="174"/>
      <c r="D222" s="174"/>
      <c r="E222" s="174"/>
      <c r="F222" s="174"/>
    </row>
    <row r="223" spans="2:6" ht="12.75" customHeight="1" x14ac:dyDescent="0.2">
      <c r="B223" s="174"/>
      <c r="C223" s="174"/>
      <c r="D223" s="174"/>
      <c r="E223" s="174"/>
      <c r="F223" s="174"/>
    </row>
    <row r="224" spans="2:6" ht="12.75" customHeight="1" x14ac:dyDescent="0.2">
      <c r="B224" s="174"/>
      <c r="C224" s="174"/>
      <c r="D224" s="174"/>
      <c r="E224" s="174"/>
      <c r="F224" s="174"/>
    </row>
    <row r="225" spans="2:6" ht="12.75" customHeight="1" x14ac:dyDescent="0.2">
      <c r="B225" s="174"/>
      <c r="C225" s="174"/>
      <c r="D225" s="174"/>
      <c r="E225" s="174"/>
      <c r="F225" s="174"/>
    </row>
    <row r="226" spans="2:6" ht="12.75" customHeight="1" x14ac:dyDescent="0.2">
      <c r="B226" s="174"/>
      <c r="C226" s="174"/>
      <c r="D226" s="174"/>
      <c r="E226" s="174"/>
      <c r="F226" s="174"/>
    </row>
    <row r="227" spans="2:6" ht="12.75" customHeight="1" x14ac:dyDescent="0.2">
      <c r="B227" s="174"/>
      <c r="C227" s="174"/>
      <c r="D227" s="174"/>
      <c r="E227" s="174"/>
      <c r="F227" s="174"/>
    </row>
    <row r="228" spans="2:6" ht="12.75" customHeight="1" x14ac:dyDescent="0.2">
      <c r="B228" s="174"/>
      <c r="C228" s="174"/>
      <c r="D228" s="174"/>
      <c r="E228" s="174"/>
      <c r="F228" s="174"/>
    </row>
    <row r="229" spans="2:6" ht="12.75" customHeight="1" x14ac:dyDescent="0.2">
      <c r="B229" s="174"/>
      <c r="C229" s="174"/>
      <c r="D229" s="174"/>
      <c r="E229" s="174"/>
      <c r="F229" s="174"/>
    </row>
    <row r="230" spans="2:6" ht="12.75" customHeight="1" x14ac:dyDescent="0.2">
      <c r="B230" s="174"/>
      <c r="C230" s="174"/>
      <c r="D230" s="174"/>
      <c r="E230" s="174"/>
      <c r="F230" s="174"/>
    </row>
    <row r="231" spans="2:6" ht="12.75" customHeight="1" x14ac:dyDescent="0.2">
      <c r="B231" s="174"/>
      <c r="C231" s="174"/>
      <c r="D231" s="174"/>
      <c r="E231" s="174"/>
      <c r="F231" s="174"/>
    </row>
    <row r="232" spans="2:6" ht="12.75" customHeight="1" x14ac:dyDescent="0.2">
      <c r="B232" s="174"/>
      <c r="C232" s="174"/>
      <c r="D232" s="174"/>
      <c r="E232" s="174"/>
      <c r="F232" s="174"/>
    </row>
    <row r="233" spans="2:6" ht="12.75" customHeight="1" x14ac:dyDescent="0.2">
      <c r="B233" s="174"/>
      <c r="C233" s="174"/>
      <c r="D233" s="174"/>
      <c r="E233" s="174"/>
      <c r="F233" s="174"/>
    </row>
    <row r="234" spans="2:6" ht="12.75" customHeight="1" x14ac:dyDescent="0.2">
      <c r="B234" s="174"/>
      <c r="C234" s="174"/>
      <c r="D234" s="174"/>
      <c r="E234" s="174"/>
      <c r="F234" s="174"/>
    </row>
    <row r="235" spans="2:6" ht="12.75" customHeight="1" x14ac:dyDescent="0.2">
      <c r="B235" s="174"/>
      <c r="C235" s="174"/>
      <c r="D235" s="174"/>
      <c r="E235" s="174"/>
      <c r="F235" s="174"/>
    </row>
    <row r="236" spans="2:6" ht="12.75" customHeight="1" x14ac:dyDescent="0.2">
      <c r="B236" s="174"/>
      <c r="C236" s="174"/>
      <c r="D236" s="174"/>
      <c r="E236" s="174"/>
      <c r="F236" s="174"/>
    </row>
    <row r="237" spans="2:6" ht="12.75" customHeight="1" x14ac:dyDescent="0.2">
      <c r="B237" s="174"/>
      <c r="C237" s="174"/>
      <c r="D237" s="174"/>
      <c r="E237" s="174"/>
      <c r="F237" s="174"/>
    </row>
    <row r="238" spans="2:6" ht="12.75" customHeight="1" x14ac:dyDescent="0.2">
      <c r="B238" s="174"/>
      <c r="C238" s="174"/>
      <c r="D238" s="174"/>
      <c r="E238" s="174"/>
      <c r="F238" s="174"/>
    </row>
    <row r="239" spans="2:6" ht="12.75" customHeight="1" x14ac:dyDescent="0.2">
      <c r="B239" s="174"/>
      <c r="C239" s="174"/>
      <c r="D239" s="174"/>
      <c r="E239" s="174"/>
      <c r="F239" s="174"/>
    </row>
    <row r="240" spans="2:6" ht="12.75" customHeight="1" x14ac:dyDescent="0.2">
      <c r="B240" s="174"/>
      <c r="C240" s="174"/>
      <c r="D240" s="174"/>
      <c r="E240" s="174"/>
      <c r="F240" s="174"/>
    </row>
    <row r="241" spans="2:6" ht="12.75" customHeight="1" x14ac:dyDescent="0.2">
      <c r="B241" s="174"/>
      <c r="C241" s="174"/>
      <c r="D241" s="174"/>
      <c r="E241" s="174"/>
      <c r="F241" s="174"/>
    </row>
    <row r="242" spans="2:6" ht="12.75" customHeight="1" x14ac:dyDescent="0.2">
      <c r="B242" s="174"/>
      <c r="C242" s="174"/>
      <c r="D242" s="174"/>
      <c r="E242" s="174"/>
      <c r="F242" s="174"/>
    </row>
    <row r="243" spans="2:6" ht="12.75" customHeight="1" x14ac:dyDescent="0.2">
      <c r="B243" s="174"/>
      <c r="C243" s="174"/>
      <c r="D243" s="174"/>
      <c r="E243" s="174"/>
      <c r="F243" s="174"/>
    </row>
    <row r="244" spans="2:6" ht="12.75" customHeight="1" x14ac:dyDescent="0.2">
      <c r="B244" s="174"/>
      <c r="C244" s="174"/>
      <c r="D244" s="174"/>
      <c r="E244" s="174"/>
      <c r="F244" s="174"/>
    </row>
    <row r="245" spans="2:6" ht="12.75" customHeight="1" x14ac:dyDescent="0.2">
      <c r="B245" s="174"/>
      <c r="C245" s="174"/>
      <c r="D245" s="174"/>
      <c r="E245" s="174"/>
      <c r="F245" s="174"/>
    </row>
    <row r="246" spans="2:6" ht="12.75" customHeight="1" x14ac:dyDescent="0.2">
      <c r="B246" s="174"/>
      <c r="C246" s="174"/>
      <c r="D246" s="174"/>
      <c r="E246" s="174"/>
      <c r="F246" s="174"/>
    </row>
    <row r="247" spans="2:6" ht="12.75" customHeight="1" x14ac:dyDescent="0.2">
      <c r="B247" s="174"/>
      <c r="C247" s="174"/>
      <c r="D247" s="174"/>
      <c r="E247" s="174"/>
      <c r="F247" s="174"/>
    </row>
    <row r="248" spans="2:6" ht="12.75" customHeight="1" x14ac:dyDescent="0.2">
      <c r="B248" s="174"/>
      <c r="C248" s="174"/>
      <c r="D248" s="174"/>
      <c r="E248" s="174"/>
      <c r="F248" s="174"/>
    </row>
    <row r="249" spans="2:6" ht="12.75" customHeight="1" x14ac:dyDescent="0.2">
      <c r="B249" s="174"/>
      <c r="C249" s="174"/>
      <c r="D249" s="174"/>
      <c r="E249" s="174"/>
      <c r="F249" s="174"/>
    </row>
    <row r="250" spans="2:6" ht="12.75" customHeight="1" x14ac:dyDescent="0.2">
      <c r="B250" s="174"/>
      <c r="C250" s="174"/>
      <c r="D250" s="174"/>
      <c r="E250" s="174"/>
      <c r="F250" s="174"/>
    </row>
    <row r="251" spans="2:6" ht="12.75" customHeight="1" x14ac:dyDescent="0.2">
      <c r="B251" s="174"/>
      <c r="C251" s="174"/>
      <c r="D251" s="174"/>
      <c r="E251" s="174"/>
      <c r="F251" s="174"/>
    </row>
    <row r="252" spans="2:6" ht="12.75" customHeight="1" x14ac:dyDescent="0.2">
      <c r="B252" s="174"/>
      <c r="C252" s="174"/>
      <c r="D252" s="174"/>
      <c r="E252" s="174"/>
      <c r="F252" s="174"/>
    </row>
    <row r="253" spans="2:6" ht="12.75" customHeight="1" x14ac:dyDescent="0.2">
      <c r="B253" s="174"/>
      <c r="C253" s="174"/>
      <c r="D253" s="174"/>
      <c r="E253" s="174"/>
      <c r="F253" s="174"/>
    </row>
    <row r="254" spans="2:6" ht="12.75" customHeight="1" x14ac:dyDescent="0.2">
      <c r="B254" s="174"/>
      <c r="C254" s="174"/>
      <c r="D254" s="174"/>
      <c r="E254" s="174"/>
      <c r="F254" s="174"/>
    </row>
    <row r="255" spans="2:6" ht="12.75" customHeight="1" x14ac:dyDescent="0.2">
      <c r="B255" s="174"/>
      <c r="C255" s="174"/>
      <c r="D255" s="174"/>
      <c r="E255" s="174"/>
      <c r="F255" s="174"/>
    </row>
    <row r="256" spans="2:6" ht="12.75" customHeight="1" x14ac:dyDescent="0.2">
      <c r="B256" s="174"/>
      <c r="C256" s="174"/>
      <c r="D256" s="174"/>
      <c r="E256" s="174"/>
      <c r="F256" s="174"/>
    </row>
    <row r="257" spans="2:6" ht="12.75" customHeight="1" x14ac:dyDescent="0.2">
      <c r="B257" s="174"/>
      <c r="C257" s="174"/>
      <c r="D257" s="174"/>
      <c r="E257" s="174"/>
      <c r="F257" s="174"/>
    </row>
    <row r="258" spans="2:6" ht="12.75" customHeight="1" x14ac:dyDescent="0.2">
      <c r="B258" s="174"/>
      <c r="C258" s="174"/>
      <c r="D258" s="174"/>
      <c r="E258" s="174"/>
      <c r="F258" s="174"/>
    </row>
    <row r="259" spans="2:6" ht="12.75" customHeight="1" x14ac:dyDescent="0.2">
      <c r="B259" s="174"/>
      <c r="C259" s="174"/>
      <c r="D259" s="174"/>
      <c r="E259" s="174"/>
      <c r="F259" s="174"/>
    </row>
    <row r="260" spans="2:6" ht="12.75" customHeight="1" x14ac:dyDescent="0.2">
      <c r="B260" s="174"/>
      <c r="C260" s="174"/>
      <c r="D260" s="174"/>
      <c r="E260" s="174"/>
      <c r="F260" s="174"/>
    </row>
    <row r="261" spans="2:6" ht="12.75" customHeight="1" x14ac:dyDescent="0.2">
      <c r="B261" s="174"/>
      <c r="C261" s="174"/>
      <c r="D261" s="174"/>
      <c r="E261" s="174"/>
      <c r="F261" s="174"/>
    </row>
    <row r="262" spans="2:6" ht="12.75" customHeight="1" x14ac:dyDescent="0.2">
      <c r="B262" s="174"/>
      <c r="C262" s="174"/>
      <c r="D262" s="174"/>
      <c r="E262" s="174"/>
      <c r="F262" s="174"/>
    </row>
    <row r="263" spans="2:6" ht="12.75" customHeight="1" x14ac:dyDescent="0.2">
      <c r="B263" s="174"/>
      <c r="C263" s="174"/>
      <c r="D263" s="174"/>
      <c r="E263" s="174"/>
      <c r="F263" s="174"/>
    </row>
    <row r="264" spans="2:6" ht="12.75" customHeight="1" x14ac:dyDescent="0.2">
      <c r="B264" s="174"/>
      <c r="C264" s="174"/>
      <c r="D264" s="174"/>
      <c r="E264" s="174"/>
      <c r="F264" s="174"/>
    </row>
    <row r="265" spans="2:6" ht="12.75" customHeight="1" x14ac:dyDescent="0.2">
      <c r="B265" s="174"/>
      <c r="C265" s="174"/>
      <c r="D265" s="174"/>
      <c r="E265" s="174"/>
      <c r="F265" s="174"/>
    </row>
    <row r="266" spans="2:6" ht="12.75" customHeight="1" x14ac:dyDescent="0.2">
      <c r="B266" s="174"/>
      <c r="C266" s="174"/>
      <c r="D266" s="174"/>
      <c r="E266" s="174"/>
      <c r="F266" s="174"/>
    </row>
    <row r="267" spans="2:6" ht="12.75" customHeight="1" x14ac:dyDescent="0.2">
      <c r="B267" s="174"/>
      <c r="C267" s="174"/>
      <c r="D267" s="174"/>
      <c r="E267" s="174"/>
      <c r="F267" s="174"/>
    </row>
    <row r="268" spans="2:6" ht="12.75" customHeight="1" x14ac:dyDescent="0.2">
      <c r="B268" s="174"/>
      <c r="C268" s="174"/>
      <c r="D268" s="174"/>
      <c r="E268" s="174"/>
      <c r="F268" s="174"/>
    </row>
    <row r="269" spans="2:6" ht="12.75" customHeight="1" x14ac:dyDescent="0.2">
      <c r="B269" s="174"/>
      <c r="C269" s="174"/>
      <c r="D269" s="174"/>
      <c r="E269" s="174"/>
      <c r="F269" s="174"/>
    </row>
    <row r="270" spans="2:6" ht="12.75" customHeight="1" x14ac:dyDescent="0.2">
      <c r="B270" s="174"/>
      <c r="C270" s="174"/>
      <c r="D270" s="174"/>
      <c r="E270" s="174"/>
      <c r="F270" s="174"/>
    </row>
    <row r="271" spans="2:6" ht="12.75" customHeight="1" x14ac:dyDescent="0.2">
      <c r="B271" s="174"/>
      <c r="C271" s="174"/>
      <c r="D271" s="174"/>
      <c r="E271" s="174"/>
      <c r="F271" s="174"/>
    </row>
    <row r="272" spans="2:6" ht="12.75" customHeight="1" x14ac:dyDescent="0.2">
      <c r="B272" s="174"/>
      <c r="C272" s="174"/>
      <c r="D272" s="174"/>
      <c r="E272" s="174"/>
      <c r="F272" s="174"/>
    </row>
    <row r="273" spans="2:6" ht="12.75" customHeight="1" x14ac:dyDescent="0.2">
      <c r="B273" s="174"/>
      <c r="C273" s="174"/>
      <c r="D273" s="174"/>
      <c r="E273" s="174"/>
      <c r="F273" s="174"/>
    </row>
    <row r="274" spans="2:6" ht="12.75" customHeight="1" x14ac:dyDescent="0.2">
      <c r="B274" s="174"/>
      <c r="C274" s="174"/>
      <c r="D274" s="174"/>
      <c r="E274" s="174"/>
      <c r="F274" s="174"/>
    </row>
    <row r="275" spans="2:6" ht="12.75" customHeight="1" x14ac:dyDescent="0.2">
      <c r="B275" s="174"/>
      <c r="C275" s="174"/>
      <c r="D275" s="174"/>
      <c r="E275" s="174"/>
      <c r="F275" s="174"/>
    </row>
    <row r="276" spans="2:6" ht="12.75" customHeight="1" x14ac:dyDescent="0.2">
      <c r="B276" s="174"/>
      <c r="C276" s="174"/>
      <c r="D276" s="174"/>
      <c r="E276" s="174"/>
      <c r="F276" s="174"/>
    </row>
    <row r="277" spans="2:6" ht="12.75" customHeight="1" x14ac:dyDescent="0.2">
      <c r="B277" s="174"/>
      <c r="C277" s="174"/>
      <c r="D277" s="174"/>
      <c r="E277" s="174"/>
      <c r="F277" s="174"/>
    </row>
    <row r="278" spans="2:6" ht="12.75" customHeight="1" x14ac:dyDescent="0.2">
      <c r="B278" s="174"/>
      <c r="C278" s="174"/>
      <c r="D278" s="174"/>
      <c r="E278" s="174"/>
      <c r="F278" s="174"/>
    </row>
    <row r="279" spans="2:6" ht="12.75" customHeight="1" x14ac:dyDescent="0.2">
      <c r="B279" s="174"/>
      <c r="C279" s="174"/>
      <c r="D279" s="174"/>
      <c r="E279" s="174"/>
      <c r="F279" s="174"/>
    </row>
    <row r="280" spans="2:6" ht="12.75" customHeight="1" x14ac:dyDescent="0.2">
      <c r="B280" s="174"/>
      <c r="C280" s="174"/>
      <c r="D280" s="174"/>
      <c r="E280" s="174"/>
      <c r="F280" s="174"/>
    </row>
    <row r="281" spans="2:6" ht="12.75" customHeight="1" x14ac:dyDescent="0.2">
      <c r="B281" s="174"/>
      <c r="C281" s="174"/>
      <c r="D281" s="174"/>
      <c r="E281" s="174"/>
      <c r="F281" s="174"/>
    </row>
    <row r="282" spans="2:6" ht="12.75" customHeight="1" x14ac:dyDescent="0.2">
      <c r="B282" s="174"/>
      <c r="C282" s="174"/>
      <c r="D282" s="174"/>
      <c r="E282" s="174"/>
      <c r="F282" s="174"/>
    </row>
    <row r="283" spans="2:6" ht="12.75" customHeight="1" x14ac:dyDescent="0.2">
      <c r="B283" s="174"/>
      <c r="C283" s="174"/>
      <c r="D283" s="174"/>
      <c r="E283" s="174"/>
      <c r="F283" s="174"/>
    </row>
    <row r="284" spans="2:6" ht="12.75" customHeight="1" x14ac:dyDescent="0.2">
      <c r="B284" s="174"/>
      <c r="C284" s="174"/>
      <c r="D284" s="174"/>
      <c r="E284" s="174"/>
      <c r="F284" s="174"/>
    </row>
    <row r="285" spans="2:6" ht="12.75" customHeight="1" x14ac:dyDescent="0.2">
      <c r="B285" s="174"/>
      <c r="C285" s="174"/>
      <c r="D285" s="174"/>
      <c r="E285" s="174"/>
      <c r="F285" s="174"/>
    </row>
    <row r="286" spans="2:6" ht="12.75" customHeight="1" x14ac:dyDescent="0.2">
      <c r="B286" s="174"/>
      <c r="C286" s="174"/>
      <c r="D286" s="174"/>
      <c r="E286" s="174"/>
      <c r="F286" s="174"/>
    </row>
    <row r="287" spans="2:6" ht="12.75" customHeight="1" x14ac:dyDescent="0.2">
      <c r="B287" s="174"/>
      <c r="C287" s="174"/>
      <c r="D287" s="174"/>
      <c r="E287" s="174"/>
      <c r="F287" s="174"/>
    </row>
    <row r="288" spans="2:6" ht="12.75" customHeight="1" x14ac:dyDescent="0.2">
      <c r="B288" s="174"/>
      <c r="C288" s="174"/>
      <c r="D288" s="174"/>
      <c r="E288" s="174"/>
      <c r="F288" s="174"/>
    </row>
    <row r="289" spans="2:6" ht="12.75" customHeight="1" x14ac:dyDescent="0.2">
      <c r="B289" s="174"/>
      <c r="C289" s="174"/>
      <c r="D289" s="174"/>
      <c r="E289" s="174"/>
      <c r="F289" s="174"/>
    </row>
    <row r="290" spans="2:6" ht="12.75" customHeight="1" x14ac:dyDescent="0.2">
      <c r="B290" s="174"/>
      <c r="C290" s="174"/>
      <c r="D290" s="174"/>
      <c r="E290" s="174"/>
      <c r="F290" s="174"/>
    </row>
    <row r="291" spans="2:6" ht="12.75" customHeight="1" x14ac:dyDescent="0.2">
      <c r="B291" s="174"/>
      <c r="C291" s="174"/>
      <c r="D291" s="174"/>
      <c r="E291" s="174"/>
      <c r="F291" s="174"/>
    </row>
    <row r="292" spans="2:6" ht="12.75" customHeight="1" x14ac:dyDescent="0.2">
      <c r="B292" s="174"/>
      <c r="C292" s="174"/>
      <c r="D292" s="174"/>
      <c r="E292" s="174"/>
      <c r="F292" s="174"/>
    </row>
    <row r="293" spans="2:6" ht="12.75" customHeight="1" x14ac:dyDescent="0.2">
      <c r="B293" s="174"/>
      <c r="C293" s="174"/>
      <c r="D293" s="174"/>
      <c r="E293" s="174"/>
      <c r="F293" s="174"/>
    </row>
    <row r="294" spans="2:6" ht="12.75" customHeight="1" x14ac:dyDescent="0.2">
      <c r="B294" s="174"/>
      <c r="C294" s="174"/>
      <c r="D294" s="174"/>
      <c r="E294" s="174"/>
      <c r="F294" s="174"/>
    </row>
    <row r="295" spans="2:6" ht="12.75" customHeight="1" x14ac:dyDescent="0.2">
      <c r="B295" s="174"/>
      <c r="C295" s="174"/>
      <c r="D295" s="174"/>
      <c r="E295" s="174"/>
      <c r="F295" s="174"/>
    </row>
    <row r="296" spans="2:6" ht="12.75" customHeight="1" x14ac:dyDescent="0.2">
      <c r="B296" s="174"/>
      <c r="C296" s="174"/>
      <c r="D296" s="174"/>
      <c r="E296" s="174"/>
      <c r="F296" s="174"/>
    </row>
    <row r="297" spans="2:6" ht="12.75" customHeight="1" x14ac:dyDescent="0.2">
      <c r="B297" s="174"/>
      <c r="C297" s="174"/>
      <c r="D297" s="174"/>
      <c r="E297" s="174"/>
      <c r="F297" s="174"/>
    </row>
    <row r="298" spans="2:6" ht="12.75" customHeight="1" x14ac:dyDescent="0.2">
      <c r="B298" s="174"/>
      <c r="C298" s="174"/>
      <c r="D298" s="174"/>
      <c r="E298" s="174"/>
      <c r="F298" s="174"/>
    </row>
    <row r="299" spans="2:6" ht="12.75" customHeight="1" x14ac:dyDescent="0.2">
      <c r="B299" s="174"/>
      <c r="C299" s="174"/>
      <c r="D299" s="174"/>
      <c r="E299" s="174"/>
      <c r="F299" s="174"/>
    </row>
    <row r="300" spans="2:6" ht="12.75" customHeight="1" x14ac:dyDescent="0.2">
      <c r="B300" s="174"/>
      <c r="C300" s="174"/>
      <c r="D300" s="174"/>
      <c r="E300" s="174"/>
      <c r="F300" s="174"/>
    </row>
    <row r="301" spans="2:6" ht="12.75" customHeight="1" x14ac:dyDescent="0.2">
      <c r="B301" s="174"/>
      <c r="C301" s="174"/>
      <c r="D301" s="174"/>
      <c r="E301" s="174"/>
      <c r="F301" s="174"/>
    </row>
    <row r="302" spans="2:6" ht="12.75" customHeight="1" x14ac:dyDescent="0.2">
      <c r="B302" s="174"/>
      <c r="C302" s="174"/>
      <c r="D302" s="174"/>
      <c r="E302" s="174"/>
      <c r="F302" s="174"/>
    </row>
    <row r="303" spans="2:6" ht="12.75" customHeight="1" x14ac:dyDescent="0.2">
      <c r="B303" s="174"/>
      <c r="C303" s="174"/>
      <c r="D303" s="174"/>
      <c r="E303" s="174"/>
      <c r="F303" s="174"/>
    </row>
    <row r="304" spans="2:6" ht="12.75" customHeight="1" x14ac:dyDescent="0.2">
      <c r="B304" s="174"/>
      <c r="C304" s="174"/>
      <c r="D304" s="174"/>
      <c r="E304" s="174"/>
      <c r="F304" s="174"/>
    </row>
    <row r="305" spans="2:6" ht="12.75" customHeight="1" x14ac:dyDescent="0.2">
      <c r="B305" s="174"/>
      <c r="C305" s="174"/>
      <c r="D305" s="174"/>
      <c r="E305" s="174"/>
      <c r="F305" s="174"/>
    </row>
    <row r="306" spans="2:6" ht="12.75" customHeight="1" x14ac:dyDescent="0.2">
      <c r="B306" s="174"/>
      <c r="C306" s="174"/>
      <c r="D306" s="174"/>
      <c r="E306" s="174"/>
      <c r="F306" s="174"/>
    </row>
    <row r="307" spans="2:6" ht="12.75" customHeight="1" x14ac:dyDescent="0.2">
      <c r="B307" s="174"/>
      <c r="C307" s="174"/>
      <c r="D307" s="174"/>
      <c r="E307" s="174"/>
      <c r="F307" s="174"/>
    </row>
    <row r="308" spans="2:6" ht="12.75" customHeight="1" x14ac:dyDescent="0.2">
      <c r="B308" s="174"/>
      <c r="C308" s="174"/>
      <c r="D308" s="174"/>
      <c r="E308" s="174"/>
      <c r="F308" s="174"/>
    </row>
    <row r="309" spans="2:6" ht="12.75" customHeight="1" x14ac:dyDescent="0.2">
      <c r="B309" s="174"/>
      <c r="C309" s="174"/>
      <c r="D309" s="174"/>
      <c r="E309" s="174"/>
      <c r="F309" s="174"/>
    </row>
    <row r="310" spans="2:6" ht="12.75" customHeight="1" x14ac:dyDescent="0.2">
      <c r="B310" s="174"/>
      <c r="C310" s="174"/>
      <c r="D310" s="174"/>
      <c r="E310" s="174"/>
      <c r="F310" s="174"/>
    </row>
    <row r="311" spans="2:6" ht="12.75" customHeight="1" x14ac:dyDescent="0.2">
      <c r="B311" s="174"/>
      <c r="C311" s="174"/>
      <c r="D311" s="174"/>
      <c r="E311" s="174"/>
      <c r="F311" s="174"/>
    </row>
    <row r="312" spans="2:6" ht="12.75" customHeight="1" x14ac:dyDescent="0.2">
      <c r="B312" s="174"/>
      <c r="C312" s="174"/>
      <c r="D312" s="174"/>
      <c r="E312" s="174"/>
      <c r="F312" s="174"/>
    </row>
    <row r="313" spans="2:6" ht="12.75" customHeight="1" x14ac:dyDescent="0.2">
      <c r="B313" s="174"/>
      <c r="C313" s="174"/>
      <c r="D313" s="174"/>
      <c r="E313" s="174"/>
      <c r="F313" s="174"/>
    </row>
    <row r="314" spans="2:6" ht="12.75" customHeight="1" x14ac:dyDescent="0.2">
      <c r="B314" s="174"/>
      <c r="C314" s="174"/>
      <c r="D314" s="174"/>
      <c r="E314" s="174"/>
      <c r="F314" s="174"/>
    </row>
    <row r="315" spans="2:6" ht="12.75" customHeight="1" x14ac:dyDescent="0.2">
      <c r="B315" s="174"/>
      <c r="C315" s="174"/>
      <c r="D315" s="174"/>
      <c r="E315" s="174"/>
      <c r="F315" s="174"/>
    </row>
    <row r="316" spans="2:6" ht="12.75" customHeight="1" x14ac:dyDescent="0.2">
      <c r="B316" s="174"/>
      <c r="C316" s="174"/>
      <c r="D316" s="174"/>
      <c r="E316" s="174"/>
      <c r="F316" s="174"/>
    </row>
    <row r="317" spans="2:6" ht="12.75" customHeight="1" x14ac:dyDescent="0.2">
      <c r="B317" s="174"/>
      <c r="C317" s="174"/>
      <c r="D317" s="174"/>
      <c r="E317" s="174"/>
      <c r="F317" s="174"/>
    </row>
    <row r="318" spans="2:6" ht="12.75" customHeight="1" x14ac:dyDescent="0.2">
      <c r="B318" s="174"/>
      <c r="C318" s="174"/>
      <c r="D318" s="174"/>
      <c r="E318" s="174"/>
      <c r="F318" s="174"/>
    </row>
    <row r="319" spans="2:6" ht="12.75" customHeight="1" x14ac:dyDescent="0.2">
      <c r="B319" s="174"/>
      <c r="C319" s="174"/>
      <c r="D319" s="174"/>
      <c r="E319" s="174"/>
      <c r="F319" s="174"/>
    </row>
    <row r="320" spans="2:6" ht="12.75" customHeight="1" x14ac:dyDescent="0.2">
      <c r="B320" s="174"/>
      <c r="C320" s="174"/>
      <c r="D320" s="174"/>
      <c r="E320" s="174"/>
      <c r="F320" s="174"/>
    </row>
    <row r="321" spans="2:6" ht="12.75" customHeight="1" x14ac:dyDescent="0.2">
      <c r="B321" s="174"/>
      <c r="C321" s="174"/>
      <c r="D321" s="174"/>
      <c r="E321" s="174"/>
      <c r="F321" s="174"/>
    </row>
    <row r="322" spans="2:6" ht="12.75" customHeight="1" x14ac:dyDescent="0.2">
      <c r="B322" s="174"/>
      <c r="C322" s="174"/>
      <c r="D322" s="174"/>
      <c r="E322" s="174"/>
      <c r="F322" s="174"/>
    </row>
    <row r="323" spans="2:6" ht="12.75" customHeight="1" x14ac:dyDescent="0.2">
      <c r="B323" s="174"/>
      <c r="C323" s="174"/>
      <c r="D323" s="174"/>
      <c r="E323" s="174"/>
      <c r="F323" s="174"/>
    </row>
    <row r="324" spans="2:6" ht="12.75" customHeight="1" x14ac:dyDescent="0.2">
      <c r="B324" s="174"/>
      <c r="C324" s="174"/>
      <c r="D324" s="174"/>
      <c r="E324" s="174"/>
      <c r="F324" s="174"/>
    </row>
    <row r="325" spans="2:6" ht="12.75" customHeight="1" x14ac:dyDescent="0.2">
      <c r="B325" s="174"/>
      <c r="C325" s="174"/>
      <c r="D325" s="174"/>
      <c r="E325" s="174"/>
      <c r="F325" s="174"/>
    </row>
    <row r="326" spans="2:6" ht="12.75" customHeight="1" x14ac:dyDescent="0.2">
      <c r="B326" s="174"/>
      <c r="C326" s="174"/>
      <c r="D326" s="174"/>
      <c r="E326" s="174"/>
      <c r="F326" s="174"/>
    </row>
    <row r="327" spans="2:6" ht="12.75" customHeight="1" x14ac:dyDescent="0.2">
      <c r="B327" s="174"/>
      <c r="C327" s="174"/>
      <c r="D327" s="174"/>
      <c r="E327" s="174"/>
      <c r="F327" s="174"/>
    </row>
    <row r="328" spans="2:6" ht="12.75" customHeight="1" x14ac:dyDescent="0.2">
      <c r="B328" s="174"/>
      <c r="C328" s="174"/>
      <c r="D328" s="174"/>
      <c r="E328" s="174"/>
      <c r="F328" s="174"/>
    </row>
    <row r="329" spans="2:6" ht="12.75" customHeight="1" x14ac:dyDescent="0.2">
      <c r="B329" s="174"/>
      <c r="C329" s="174"/>
      <c r="D329" s="174"/>
      <c r="E329" s="174"/>
      <c r="F329" s="174"/>
    </row>
    <row r="330" spans="2:6" ht="12.75" customHeight="1" x14ac:dyDescent="0.2">
      <c r="B330" s="174"/>
      <c r="C330" s="174"/>
      <c r="D330" s="174"/>
      <c r="E330" s="174"/>
      <c r="F330" s="174"/>
    </row>
    <row r="331" spans="2:6" ht="12.75" customHeight="1" x14ac:dyDescent="0.2">
      <c r="B331" s="174"/>
      <c r="C331" s="174"/>
      <c r="D331" s="174"/>
      <c r="E331" s="174"/>
      <c r="F331" s="174"/>
    </row>
    <row r="332" spans="2:6" ht="12.75" customHeight="1" x14ac:dyDescent="0.2">
      <c r="B332" s="174"/>
      <c r="C332" s="174"/>
      <c r="D332" s="174"/>
      <c r="E332" s="174"/>
      <c r="F332" s="174"/>
    </row>
    <row r="333" spans="2:6" ht="12.75" customHeight="1" x14ac:dyDescent="0.2">
      <c r="B333" s="174"/>
      <c r="C333" s="174"/>
      <c r="D333" s="174"/>
      <c r="E333" s="174"/>
      <c r="F333" s="174"/>
    </row>
    <row r="334" spans="2:6" ht="12.75" customHeight="1" x14ac:dyDescent="0.2">
      <c r="B334" s="174"/>
      <c r="C334" s="174"/>
      <c r="D334" s="174"/>
      <c r="E334" s="174"/>
      <c r="F334" s="174"/>
    </row>
    <row r="335" spans="2:6" ht="12.75" customHeight="1" x14ac:dyDescent="0.2">
      <c r="B335" s="174"/>
      <c r="C335" s="174"/>
      <c r="D335" s="174"/>
      <c r="E335" s="174"/>
      <c r="F335" s="174"/>
    </row>
    <row r="336" spans="2:6" ht="12.75" customHeight="1" x14ac:dyDescent="0.2">
      <c r="B336" s="174"/>
      <c r="C336" s="174"/>
      <c r="D336" s="174"/>
      <c r="E336" s="174"/>
      <c r="F336" s="174"/>
    </row>
    <row r="337" spans="2:6" ht="12.75" customHeight="1" x14ac:dyDescent="0.2">
      <c r="B337" s="174"/>
      <c r="C337" s="174"/>
      <c r="D337" s="174"/>
      <c r="E337" s="174"/>
      <c r="F337" s="174"/>
    </row>
    <row r="338" spans="2:6" ht="12.75" customHeight="1" x14ac:dyDescent="0.2">
      <c r="B338" s="174"/>
      <c r="C338" s="174"/>
      <c r="D338" s="174"/>
      <c r="E338" s="174"/>
      <c r="F338" s="174"/>
    </row>
    <row r="339" spans="2:6" ht="12.75" customHeight="1" x14ac:dyDescent="0.2">
      <c r="B339" s="174"/>
      <c r="C339" s="174"/>
      <c r="D339" s="174"/>
      <c r="E339" s="174"/>
      <c r="F339" s="174"/>
    </row>
    <row r="340" spans="2:6" ht="12.75" customHeight="1" x14ac:dyDescent="0.2">
      <c r="B340" s="174"/>
      <c r="C340" s="174"/>
      <c r="D340" s="174"/>
      <c r="E340" s="174"/>
      <c r="F340" s="174"/>
    </row>
    <row r="341" spans="2:6" ht="12.75" customHeight="1" x14ac:dyDescent="0.2">
      <c r="B341" s="174"/>
      <c r="C341" s="174"/>
      <c r="D341" s="174"/>
      <c r="E341" s="174"/>
      <c r="F341" s="174"/>
    </row>
    <row r="342" spans="2:6" ht="12.75" customHeight="1" x14ac:dyDescent="0.2">
      <c r="B342" s="174"/>
      <c r="C342" s="174"/>
      <c r="D342" s="174"/>
      <c r="E342" s="174"/>
      <c r="F342" s="174"/>
    </row>
    <row r="343" spans="2:6" ht="12.75" customHeight="1" x14ac:dyDescent="0.2">
      <c r="B343" s="174"/>
      <c r="C343" s="174"/>
      <c r="D343" s="174"/>
      <c r="E343" s="174"/>
      <c r="F343" s="174"/>
    </row>
    <row r="344" spans="2:6" ht="12.75" customHeight="1" x14ac:dyDescent="0.2">
      <c r="B344" s="174"/>
      <c r="C344" s="174"/>
      <c r="D344" s="174"/>
      <c r="E344" s="174"/>
      <c r="F344" s="174"/>
    </row>
    <row r="345" spans="2:6" ht="12.75" customHeight="1" x14ac:dyDescent="0.2">
      <c r="B345" s="174"/>
      <c r="C345" s="174"/>
      <c r="D345" s="174"/>
      <c r="E345" s="174"/>
      <c r="F345" s="174"/>
    </row>
    <row r="346" spans="2:6" ht="12.75" customHeight="1" x14ac:dyDescent="0.2">
      <c r="B346" s="174"/>
      <c r="C346" s="174"/>
      <c r="D346" s="174"/>
      <c r="E346" s="174"/>
      <c r="F346" s="174"/>
    </row>
    <row r="347" spans="2:6" ht="12.75" customHeight="1" x14ac:dyDescent="0.2">
      <c r="B347" s="174"/>
      <c r="C347" s="174"/>
      <c r="D347" s="174"/>
      <c r="E347" s="174"/>
      <c r="F347" s="174"/>
    </row>
    <row r="348" spans="2:6" ht="12.75" customHeight="1" x14ac:dyDescent="0.2">
      <c r="B348" s="174"/>
      <c r="C348" s="174"/>
      <c r="D348" s="174"/>
      <c r="E348" s="174"/>
      <c r="F348" s="174"/>
    </row>
    <row r="349" spans="2:6" ht="12.75" customHeight="1" x14ac:dyDescent="0.2">
      <c r="B349" s="174"/>
      <c r="C349" s="174"/>
      <c r="D349" s="174"/>
      <c r="E349" s="174"/>
      <c r="F349" s="174"/>
    </row>
    <row r="350" spans="2:6" ht="12.75" customHeight="1" x14ac:dyDescent="0.2">
      <c r="B350" s="174"/>
      <c r="C350" s="174"/>
      <c r="D350" s="174"/>
      <c r="E350" s="174"/>
      <c r="F350" s="174"/>
    </row>
    <row r="351" spans="2:6" ht="12.75" customHeight="1" x14ac:dyDescent="0.2">
      <c r="B351" s="174"/>
      <c r="C351" s="174"/>
      <c r="D351" s="174"/>
      <c r="E351" s="174"/>
      <c r="F351" s="174"/>
    </row>
    <row r="352" spans="2:6" ht="12.75" customHeight="1" x14ac:dyDescent="0.2">
      <c r="B352" s="174"/>
      <c r="C352" s="174"/>
      <c r="D352" s="174"/>
      <c r="E352" s="174"/>
      <c r="F352" s="174"/>
    </row>
    <row r="353" spans="2:6" ht="12.75" customHeight="1" x14ac:dyDescent="0.2">
      <c r="B353" s="174"/>
      <c r="C353" s="174"/>
      <c r="D353" s="174"/>
      <c r="E353" s="174"/>
      <c r="F353" s="174"/>
    </row>
    <row r="354" spans="2:6" ht="12.75" customHeight="1" x14ac:dyDescent="0.2">
      <c r="B354" s="174"/>
      <c r="C354" s="174"/>
      <c r="D354" s="174"/>
      <c r="E354" s="174"/>
      <c r="F354" s="174"/>
    </row>
    <row r="355" spans="2:6" ht="12.75" customHeight="1" x14ac:dyDescent="0.2">
      <c r="B355" s="174"/>
      <c r="C355" s="174"/>
      <c r="D355" s="174"/>
      <c r="E355" s="174"/>
      <c r="F355" s="174"/>
    </row>
    <row r="356" spans="2:6" ht="12.75" customHeight="1" x14ac:dyDescent="0.2">
      <c r="B356" s="174"/>
      <c r="C356" s="174"/>
      <c r="D356" s="174"/>
      <c r="E356" s="174"/>
      <c r="F356" s="174"/>
    </row>
    <row r="357" spans="2:6" ht="12.75" customHeight="1" x14ac:dyDescent="0.2">
      <c r="B357" s="174"/>
      <c r="C357" s="174"/>
      <c r="D357" s="174"/>
      <c r="E357" s="174"/>
      <c r="F357" s="174"/>
    </row>
    <row r="358" spans="2:6" ht="12.75" customHeight="1" x14ac:dyDescent="0.2">
      <c r="B358" s="174"/>
      <c r="C358" s="174"/>
      <c r="D358" s="174"/>
      <c r="E358" s="174"/>
      <c r="F358" s="174"/>
    </row>
    <row r="359" spans="2:6" ht="12.75" customHeight="1" x14ac:dyDescent="0.2">
      <c r="B359" s="174"/>
      <c r="C359" s="174"/>
      <c r="D359" s="174"/>
      <c r="E359" s="174"/>
      <c r="F359" s="174"/>
    </row>
    <row r="360" spans="2:6" ht="12.75" customHeight="1" x14ac:dyDescent="0.2">
      <c r="B360" s="174"/>
      <c r="C360" s="174"/>
      <c r="D360" s="174"/>
      <c r="E360" s="174"/>
      <c r="F360" s="174"/>
    </row>
    <row r="361" spans="2:6" ht="12.75" customHeight="1" x14ac:dyDescent="0.2">
      <c r="B361" s="174"/>
      <c r="C361" s="174"/>
      <c r="D361" s="174"/>
      <c r="E361" s="174"/>
      <c r="F361" s="174"/>
    </row>
    <row r="362" spans="2:6" ht="12.75" customHeight="1" x14ac:dyDescent="0.2">
      <c r="B362" s="174"/>
      <c r="C362" s="174"/>
      <c r="D362" s="174"/>
      <c r="E362" s="174"/>
      <c r="F362" s="174"/>
    </row>
    <row r="363" spans="2:6" ht="12.75" customHeight="1" x14ac:dyDescent="0.2">
      <c r="B363" s="174"/>
      <c r="C363" s="174"/>
      <c r="D363" s="174"/>
      <c r="E363" s="174"/>
      <c r="F363" s="174"/>
    </row>
    <row r="364" spans="2:6" ht="12.75" customHeight="1" x14ac:dyDescent="0.2">
      <c r="B364" s="174"/>
      <c r="C364" s="174"/>
      <c r="D364" s="174"/>
      <c r="E364" s="174"/>
      <c r="F364" s="174"/>
    </row>
    <row r="365" spans="2:6" ht="12.75" customHeight="1" x14ac:dyDescent="0.2">
      <c r="B365" s="174"/>
      <c r="C365" s="174"/>
      <c r="D365" s="174"/>
      <c r="E365" s="174"/>
      <c r="F365" s="174"/>
    </row>
    <row r="366" spans="2:6" ht="12.75" customHeight="1" x14ac:dyDescent="0.2">
      <c r="B366" s="174"/>
      <c r="C366" s="174"/>
      <c r="D366" s="174"/>
      <c r="E366" s="174"/>
      <c r="F366" s="174"/>
    </row>
    <row r="367" spans="2:6" ht="12.75" customHeight="1" x14ac:dyDescent="0.2">
      <c r="B367" s="174"/>
      <c r="C367" s="174"/>
      <c r="D367" s="174"/>
      <c r="E367" s="174"/>
      <c r="F367" s="174"/>
    </row>
    <row r="368" spans="2:6" ht="12.75" customHeight="1" x14ac:dyDescent="0.2">
      <c r="B368" s="174"/>
      <c r="C368" s="174"/>
      <c r="D368" s="174"/>
      <c r="E368" s="174"/>
      <c r="F368" s="174"/>
    </row>
    <row r="369" spans="2:6" ht="12.75" customHeight="1" x14ac:dyDescent="0.2">
      <c r="B369" s="174"/>
      <c r="C369" s="174"/>
      <c r="D369" s="174"/>
      <c r="E369" s="174"/>
      <c r="F369" s="174"/>
    </row>
    <row r="370" spans="2:6" ht="12.75" customHeight="1" x14ac:dyDescent="0.2">
      <c r="B370" s="174"/>
      <c r="C370" s="174"/>
      <c r="D370" s="174"/>
      <c r="E370" s="174"/>
      <c r="F370" s="174"/>
    </row>
    <row r="371" spans="2:6" ht="12.75" customHeight="1" x14ac:dyDescent="0.2">
      <c r="B371" s="174"/>
      <c r="C371" s="174"/>
      <c r="D371" s="174"/>
      <c r="E371" s="174"/>
      <c r="F371" s="174"/>
    </row>
    <row r="372" spans="2:6" ht="12.75" customHeight="1" x14ac:dyDescent="0.2">
      <c r="B372" s="174"/>
      <c r="C372" s="174"/>
      <c r="D372" s="174"/>
      <c r="E372" s="174"/>
      <c r="F372" s="174"/>
    </row>
    <row r="373" spans="2:6" ht="12.75" customHeight="1" x14ac:dyDescent="0.2">
      <c r="B373" s="174"/>
      <c r="C373" s="174"/>
      <c r="D373" s="174"/>
      <c r="E373" s="174"/>
      <c r="F373" s="174"/>
    </row>
    <row r="374" spans="2:6" ht="12.75" customHeight="1" x14ac:dyDescent="0.2">
      <c r="B374" s="174"/>
      <c r="C374" s="174"/>
      <c r="D374" s="174"/>
      <c r="E374" s="174"/>
      <c r="F374" s="174"/>
    </row>
    <row r="375" spans="2:6" ht="12.75" customHeight="1" x14ac:dyDescent="0.2">
      <c r="B375" s="174"/>
      <c r="C375" s="174"/>
      <c r="D375" s="174"/>
      <c r="E375" s="174"/>
      <c r="F375" s="174"/>
    </row>
    <row r="376" spans="2:6" ht="12.75" customHeight="1" x14ac:dyDescent="0.2">
      <c r="B376" s="174"/>
      <c r="C376" s="174"/>
      <c r="D376" s="174"/>
      <c r="E376" s="174"/>
      <c r="F376" s="174"/>
    </row>
    <row r="377" spans="2:6" ht="12.75" customHeight="1" x14ac:dyDescent="0.2">
      <c r="B377" s="174"/>
      <c r="C377" s="174"/>
      <c r="D377" s="174"/>
      <c r="E377" s="174"/>
      <c r="F377" s="174"/>
    </row>
    <row r="378" spans="2:6" ht="12.75" customHeight="1" x14ac:dyDescent="0.2">
      <c r="B378" s="174"/>
      <c r="C378" s="174"/>
      <c r="D378" s="174"/>
      <c r="E378" s="174"/>
      <c r="F378" s="174"/>
    </row>
    <row r="379" spans="2:6" ht="12.75" customHeight="1" x14ac:dyDescent="0.2">
      <c r="B379" s="174"/>
      <c r="C379" s="174"/>
      <c r="D379" s="174"/>
      <c r="E379" s="174"/>
      <c r="F379" s="174"/>
    </row>
    <row r="380" spans="2:6" ht="12.75" customHeight="1" x14ac:dyDescent="0.2">
      <c r="B380" s="174"/>
      <c r="C380" s="174"/>
      <c r="D380" s="174"/>
      <c r="E380" s="174"/>
      <c r="F380" s="174"/>
    </row>
    <row r="381" spans="2:6" ht="12.75" customHeight="1" x14ac:dyDescent="0.2">
      <c r="B381" s="174"/>
      <c r="C381" s="174"/>
      <c r="D381" s="174"/>
      <c r="E381" s="174"/>
      <c r="F381" s="174"/>
    </row>
    <row r="382" spans="2:6" ht="12.75" customHeight="1" x14ac:dyDescent="0.2">
      <c r="B382" s="174"/>
      <c r="C382" s="174"/>
      <c r="D382" s="174"/>
      <c r="E382" s="174"/>
      <c r="F382" s="174"/>
    </row>
    <row r="383" spans="2:6" ht="12.75" customHeight="1" x14ac:dyDescent="0.2">
      <c r="B383" s="174"/>
      <c r="C383" s="174"/>
      <c r="D383" s="174"/>
      <c r="E383" s="174"/>
      <c r="F383" s="174"/>
    </row>
    <row r="384" spans="2:6" ht="12.75" customHeight="1" x14ac:dyDescent="0.2">
      <c r="B384" s="174"/>
      <c r="C384" s="174"/>
      <c r="D384" s="174"/>
      <c r="E384" s="174"/>
      <c r="F384" s="174"/>
    </row>
    <row r="385" spans="2:6" ht="12.75" customHeight="1" x14ac:dyDescent="0.2">
      <c r="B385" s="174"/>
      <c r="C385" s="174"/>
      <c r="D385" s="174"/>
      <c r="E385" s="174"/>
      <c r="F385" s="174"/>
    </row>
    <row r="386" spans="2:6" ht="12.75" customHeight="1" x14ac:dyDescent="0.2">
      <c r="B386" s="174"/>
      <c r="C386" s="174"/>
      <c r="D386" s="174"/>
      <c r="E386" s="174"/>
      <c r="F386" s="174"/>
    </row>
    <row r="387" spans="2:6" ht="12.75" customHeight="1" x14ac:dyDescent="0.2">
      <c r="B387" s="174"/>
      <c r="C387" s="174"/>
      <c r="D387" s="174"/>
      <c r="E387" s="174"/>
      <c r="F387" s="174"/>
    </row>
    <row r="388" spans="2:6" ht="12.75" customHeight="1" x14ac:dyDescent="0.2">
      <c r="B388" s="174"/>
      <c r="C388" s="174"/>
      <c r="D388" s="174"/>
      <c r="E388" s="174"/>
      <c r="F388" s="174"/>
    </row>
    <row r="389" spans="2:6" ht="12.75" customHeight="1" x14ac:dyDescent="0.2">
      <c r="B389" s="174"/>
      <c r="C389" s="174"/>
      <c r="D389" s="174"/>
      <c r="E389" s="174"/>
      <c r="F389" s="174"/>
    </row>
    <row r="390" spans="2:6" ht="12.75" customHeight="1" x14ac:dyDescent="0.2">
      <c r="B390" s="174"/>
      <c r="C390" s="174"/>
      <c r="D390" s="174"/>
      <c r="E390" s="174"/>
      <c r="F390" s="174"/>
    </row>
    <row r="391" spans="2:6" ht="12.75" customHeight="1" x14ac:dyDescent="0.2">
      <c r="B391" s="174"/>
      <c r="C391" s="174"/>
      <c r="D391" s="174"/>
      <c r="E391" s="174"/>
      <c r="F391" s="174"/>
    </row>
    <row r="392" spans="2:6" ht="12.75" customHeight="1" x14ac:dyDescent="0.2">
      <c r="B392" s="174"/>
      <c r="C392" s="174"/>
      <c r="D392" s="174"/>
      <c r="E392" s="174"/>
      <c r="F392" s="174"/>
    </row>
    <row r="393" spans="2:6" ht="12.75" customHeight="1" x14ac:dyDescent="0.2">
      <c r="B393" s="174"/>
      <c r="C393" s="174"/>
      <c r="D393" s="174"/>
      <c r="E393" s="174"/>
      <c r="F393" s="174"/>
    </row>
    <row r="394" spans="2:6" ht="12.75" customHeight="1" x14ac:dyDescent="0.2">
      <c r="B394" s="174"/>
      <c r="C394" s="174"/>
      <c r="D394" s="174"/>
      <c r="E394" s="174"/>
      <c r="F394" s="174"/>
    </row>
    <row r="395" spans="2:6" ht="12.75" customHeight="1" x14ac:dyDescent="0.2">
      <c r="B395" s="174"/>
      <c r="C395" s="174"/>
      <c r="D395" s="174"/>
      <c r="E395" s="174"/>
      <c r="F395" s="174"/>
    </row>
    <row r="396" spans="2:6" ht="12.75" customHeight="1" x14ac:dyDescent="0.2">
      <c r="B396" s="174"/>
      <c r="C396" s="174"/>
      <c r="D396" s="174"/>
      <c r="E396" s="174"/>
      <c r="F396" s="174"/>
    </row>
    <row r="397" spans="2:6" ht="12.75" customHeight="1" x14ac:dyDescent="0.2">
      <c r="B397" s="174"/>
      <c r="C397" s="174"/>
      <c r="D397" s="174"/>
      <c r="E397" s="174"/>
      <c r="F397" s="174"/>
    </row>
    <row r="398" spans="2:6" ht="12.75" customHeight="1" x14ac:dyDescent="0.2">
      <c r="B398" s="174"/>
      <c r="C398" s="174"/>
      <c r="D398" s="174"/>
      <c r="E398" s="174"/>
      <c r="F398" s="174"/>
    </row>
    <row r="399" spans="2:6" ht="12.75" customHeight="1" x14ac:dyDescent="0.2">
      <c r="B399" s="174"/>
      <c r="C399" s="174"/>
      <c r="D399" s="174"/>
      <c r="E399" s="174"/>
      <c r="F399" s="174"/>
    </row>
    <row r="400" spans="2:6" ht="12.75" customHeight="1" x14ac:dyDescent="0.2">
      <c r="B400" s="174"/>
      <c r="C400" s="174"/>
      <c r="D400" s="174"/>
      <c r="E400" s="174"/>
      <c r="F400" s="174"/>
    </row>
    <row r="401" spans="2:6" ht="12.75" customHeight="1" x14ac:dyDescent="0.2">
      <c r="B401" s="174"/>
      <c r="C401" s="174"/>
      <c r="D401" s="174"/>
      <c r="E401" s="174"/>
      <c r="F401" s="174"/>
    </row>
    <row r="402" spans="2:6" ht="12.75" customHeight="1" x14ac:dyDescent="0.2">
      <c r="B402" s="174"/>
      <c r="C402" s="174"/>
      <c r="D402" s="174"/>
      <c r="E402" s="174"/>
      <c r="F402" s="174"/>
    </row>
    <row r="403" spans="2:6" ht="12.75" customHeight="1" x14ac:dyDescent="0.2">
      <c r="B403" s="174"/>
      <c r="C403" s="174"/>
      <c r="D403" s="174"/>
      <c r="E403" s="174"/>
      <c r="F403" s="174"/>
    </row>
    <row r="404" spans="2:6" ht="12.75" customHeight="1" x14ac:dyDescent="0.2">
      <c r="B404" s="174"/>
      <c r="C404" s="174"/>
      <c r="D404" s="174"/>
      <c r="E404" s="174"/>
      <c r="F404" s="174"/>
    </row>
    <row r="405" spans="2:6" ht="12.75" customHeight="1" x14ac:dyDescent="0.2">
      <c r="B405" s="174"/>
      <c r="C405" s="174"/>
      <c r="D405" s="174"/>
      <c r="E405" s="174"/>
      <c r="F405" s="174"/>
    </row>
    <row r="406" spans="2:6" ht="12.75" customHeight="1" x14ac:dyDescent="0.2">
      <c r="B406" s="174"/>
      <c r="C406" s="174"/>
      <c r="D406" s="174"/>
      <c r="E406" s="174"/>
      <c r="F406" s="174"/>
    </row>
    <row r="407" spans="2:6" ht="12.75" customHeight="1" x14ac:dyDescent="0.2">
      <c r="B407" s="174"/>
      <c r="C407" s="174"/>
      <c r="D407" s="174"/>
      <c r="E407" s="174"/>
      <c r="F407" s="174"/>
    </row>
    <row r="408" spans="2:6" ht="12.75" customHeight="1" x14ac:dyDescent="0.2">
      <c r="B408" s="174"/>
      <c r="C408" s="174"/>
      <c r="D408" s="174"/>
      <c r="E408" s="174"/>
      <c r="F408" s="174"/>
    </row>
    <row r="409" spans="2:6" ht="12.75" customHeight="1" x14ac:dyDescent="0.2">
      <c r="B409" s="174"/>
      <c r="C409" s="174"/>
      <c r="D409" s="174"/>
      <c r="E409" s="174"/>
      <c r="F409" s="174"/>
    </row>
    <row r="410" spans="2:6" ht="12.75" customHeight="1" x14ac:dyDescent="0.2">
      <c r="B410" s="174"/>
      <c r="C410" s="174"/>
      <c r="D410" s="174"/>
      <c r="E410" s="174"/>
      <c r="F410" s="174"/>
    </row>
    <row r="411" spans="2:6" ht="12.75" customHeight="1" x14ac:dyDescent="0.2">
      <c r="B411" s="174"/>
      <c r="C411" s="174"/>
      <c r="D411" s="174"/>
      <c r="E411" s="174"/>
      <c r="F411" s="174"/>
    </row>
    <row r="412" spans="2:6" ht="12.75" customHeight="1" x14ac:dyDescent="0.2">
      <c r="B412" s="174"/>
      <c r="C412" s="174"/>
      <c r="D412" s="174"/>
      <c r="E412" s="174"/>
      <c r="F412" s="174"/>
    </row>
    <row r="413" spans="2:6" ht="12.75" customHeight="1" x14ac:dyDescent="0.2">
      <c r="B413" s="174"/>
      <c r="C413" s="174"/>
      <c r="D413" s="174"/>
      <c r="E413" s="174"/>
      <c r="F413" s="174"/>
    </row>
    <row r="414" spans="2:6" ht="12.75" customHeight="1" x14ac:dyDescent="0.2">
      <c r="B414" s="174"/>
      <c r="C414" s="174"/>
      <c r="D414" s="174"/>
      <c r="E414" s="174"/>
      <c r="F414" s="174"/>
    </row>
    <row r="415" spans="2:6" ht="12.75" customHeight="1" x14ac:dyDescent="0.2">
      <c r="B415" s="174"/>
      <c r="C415" s="174"/>
      <c r="D415" s="174"/>
      <c r="E415" s="174"/>
      <c r="F415" s="174"/>
    </row>
    <row r="416" spans="2:6" ht="12.75" customHeight="1" x14ac:dyDescent="0.2">
      <c r="B416" s="174"/>
      <c r="C416" s="174"/>
      <c r="D416" s="174"/>
      <c r="E416" s="174"/>
      <c r="F416" s="174"/>
    </row>
    <row r="417" spans="2:6" ht="12.75" customHeight="1" x14ac:dyDescent="0.2">
      <c r="B417" s="174"/>
      <c r="C417" s="174"/>
      <c r="D417" s="174"/>
      <c r="E417" s="174"/>
      <c r="F417" s="174"/>
    </row>
    <row r="418" spans="2:6" ht="12.75" customHeight="1" x14ac:dyDescent="0.2">
      <c r="B418" s="174"/>
      <c r="C418" s="174"/>
      <c r="D418" s="174"/>
      <c r="E418" s="174"/>
      <c r="F418" s="174"/>
    </row>
    <row r="419" spans="2:6" ht="12.75" customHeight="1" x14ac:dyDescent="0.2">
      <c r="B419" s="174"/>
      <c r="C419" s="174"/>
      <c r="D419" s="174"/>
      <c r="E419" s="174"/>
      <c r="F419" s="174"/>
    </row>
    <row r="420" spans="2:6" ht="12.75" customHeight="1" x14ac:dyDescent="0.2">
      <c r="B420" s="174"/>
      <c r="C420" s="174"/>
      <c r="D420" s="174"/>
      <c r="E420" s="174"/>
      <c r="F420" s="174"/>
    </row>
    <row r="421" spans="2:6" ht="12.75" customHeight="1" x14ac:dyDescent="0.2">
      <c r="B421" s="174"/>
      <c r="C421" s="174"/>
      <c r="D421" s="174"/>
      <c r="E421" s="174"/>
      <c r="F421" s="174"/>
    </row>
    <row r="422" spans="2:6" ht="12.75" customHeight="1" x14ac:dyDescent="0.2">
      <c r="B422" s="174"/>
      <c r="C422" s="174"/>
      <c r="D422" s="174"/>
      <c r="E422" s="174"/>
      <c r="F422" s="174"/>
    </row>
    <row r="423" spans="2:6" ht="12.75" customHeight="1" x14ac:dyDescent="0.2">
      <c r="B423" s="174"/>
      <c r="C423" s="174"/>
      <c r="D423" s="174"/>
      <c r="E423" s="174"/>
      <c r="F423" s="174"/>
    </row>
    <row r="424" spans="2:6" ht="12.75" customHeight="1" x14ac:dyDescent="0.2">
      <c r="B424" s="174"/>
      <c r="C424" s="174"/>
      <c r="D424" s="174"/>
      <c r="E424" s="174"/>
      <c r="F424" s="174"/>
    </row>
    <row r="425" spans="2:6" ht="12.75" customHeight="1" x14ac:dyDescent="0.2">
      <c r="B425" s="174"/>
      <c r="C425" s="174"/>
      <c r="D425" s="174"/>
      <c r="E425" s="174"/>
      <c r="F425" s="174"/>
    </row>
    <row r="426" spans="2:6" ht="12.75" customHeight="1" x14ac:dyDescent="0.2">
      <c r="B426" s="174"/>
      <c r="C426" s="174"/>
      <c r="D426" s="174"/>
      <c r="E426" s="174"/>
      <c r="F426" s="174"/>
    </row>
    <row r="427" spans="2:6" ht="12.75" customHeight="1" x14ac:dyDescent="0.2">
      <c r="B427" s="174"/>
      <c r="C427" s="174"/>
      <c r="D427" s="174"/>
      <c r="E427" s="174"/>
      <c r="F427" s="174"/>
    </row>
    <row r="428" spans="2:6" ht="12.75" customHeight="1" x14ac:dyDescent="0.2">
      <c r="B428" s="174"/>
      <c r="C428" s="174"/>
      <c r="D428" s="174"/>
      <c r="E428" s="174"/>
      <c r="F428" s="174"/>
    </row>
    <row r="429" spans="2:6" ht="12.75" customHeight="1" x14ac:dyDescent="0.2">
      <c r="B429" s="174"/>
      <c r="C429" s="174"/>
      <c r="D429" s="174"/>
      <c r="E429" s="174"/>
      <c r="F429" s="174"/>
    </row>
    <row r="430" spans="2:6" ht="12.75" customHeight="1" x14ac:dyDescent="0.2">
      <c r="B430" s="174"/>
      <c r="C430" s="174"/>
      <c r="D430" s="174"/>
      <c r="E430" s="174"/>
      <c r="F430" s="174"/>
    </row>
    <row r="431" spans="2:6" ht="12.75" customHeight="1" x14ac:dyDescent="0.2">
      <c r="B431" s="174"/>
      <c r="C431" s="174"/>
      <c r="D431" s="174"/>
      <c r="E431" s="174"/>
      <c r="F431" s="174"/>
    </row>
    <row r="432" spans="2:6" ht="12.75" customHeight="1" x14ac:dyDescent="0.2">
      <c r="B432" s="174"/>
      <c r="C432" s="174"/>
      <c r="D432" s="174"/>
      <c r="E432" s="174"/>
      <c r="F432" s="174"/>
    </row>
    <row r="433" spans="2:6" ht="12.75" customHeight="1" x14ac:dyDescent="0.2">
      <c r="B433" s="174"/>
      <c r="C433" s="174"/>
      <c r="D433" s="174"/>
      <c r="E433" s="174"/>
      <c r="F433" s="174"/>
    </row>
    <row r="434" spans="2:6" ht="12.75" customHeight="1" x14ac:dyDescent="0.2">
      <c r="B434" s="174"/>
      <c r="C434" s="174"/>
      <c r="D434" s="174"/>
      <c r="E434" s="174"/>
      <c r="F434" s="174"/>
    </row>
    <row r="435" spans="2:6" ht="12.75" customHeight="1" x14ac:dyDescent="0.2">
      <c r="B435" s="174"/>
      <c r="C435" s="174"/>
      <c r="D435" s="174"/>
      <c r="E435" s="174"/>
      <c r="F435" s="174"/>
    </row>
    <row r="436" spans="2:6" ht="12.75" customHeight="1" x14ac:dyDescent="0.2">
      <c r="B436" s="174"/>
      <c r="C436" s="174"/>
      <c r="D436" s="174"/>
      <c r="E436" s="174"/>
      <c r="F436" s="174"/>
    </row>
    <row r="437" spans="2:6" ht="12.75" customHeight="1" x14ac:dyDescent="0.2">
      <c r="B437" s="174"/>
      <c r="C437" s="174"/>
      <c r="D437" s="174"/>
      <c r="E437" s="174"/>
      <c r="F437" s="174"/>
    </row>
    <row r="438" spans="2:6" ht="12.75" customHeight="1" x14ac:dyDescent="0.2">
      <c r="B438" s="174"/>
      <c r="C438" s="174"/>
      <c r="D438" s="174"/>
      <c r="E438" s="174"/>
      <c r="F438" s="174"/>
    </row>
    <row r="439" spans="2:6" ht="12.75" customHeight="1" x14ac:dyDescent="0.2">
      <c r="B439" s="174"/>
      <c r="C439" s="174"/>
      <c r="D439" s="174"/>
      <c r="E439" s="174"/>
      <c r="F439" s="174"/>
    </row>
    <row r="440" spans="2:6" ht="12.75" customHeight="1" x14ac:dyDescent="0.2">
      <c r="B440" s="174"/>
      <c r="C440" s="174"/>
      <c r="D440" s="174"/>
      <c r="E440" s="174"/>
      <c r="F440" s="174"/>
    </row>
    <row r="441" spans="2:6" ht="12.75" customHeight="1" x14ac:dyDescent="0.2">
      <c r="B441" s="174"/>
      <c r="C441" s="174"/>
      <c r="D441" s="174"/>
      <c r="E441" s="174"/>
      <c r="F441" s="174"/>
    </row>
    <row r="442" spans="2:6" ht="12.75" customHeight="1" x14ac:dyDescent="0.2">
      <c r="B442" s="174"/>
      <c r="C442" s="174"/>
      <c r="D442" s="174"/>
      <c r="E442" s="174"/>
      <c r="F442" s="174"/>
    </row>
    <row r="443" spans="2:6" ht="12.75" customHeight="1" x14ac:dyDescent="0.2">
      <c r="B443" s="174"/>
      <c r="C443" s="174"/>
      <c r="D443" s="174"/>
      <c r="E443" s="174"/>
      <c r="F443" s="174"/>
    </row>
    <row r="444" spans="2:6" ht="12.75" customHeight="1" x14ac:dyDescent="0.2">
      <c r="B444" s="174"/>
      <c r="C444" s="174"/>
      <c r="D444" s="174"/>
      <c r="E444" s="174"/>
      <c r="F444" s="174"/>
    </row>
    <row r="445" spans="2:6" ht="12.75" customHeight="1" x14ac:dyDescent="0.2">
      <c r="B445" s="174"/>
      <c r="C445" s="174"/>
      <c r="D445" s="174"/>
      <c r="E445" s="174"/>
      <c r="F445" s="174"/>
    </row>
    <row r="446" spans="2:6" ht="12.75" customHeight="1" x14ac:dyDescent="0.2">
      <c r="B446" s="174"/>
      <c r="C446" s="174"/>
      <c r="D446" s="174"/>
      <c r="E446" s="174"/>
      <c r="F446" s="174"/>
    </row>
    <row r="447" spans="2:6" ht="12.75" customHeight="1" x14ac:dyDescent="0.2">
      <c r="B447" s="174"/>
      <c r="C447" s="174"/>
      <c r="D447" s="174"/>
      <c r="E447" s="174"/>
      <c r="F447" s="174"/>
    </row>
    <row r="448" spans="2:6" ht="12.75" customHeight="1" x14ac:dyDescent="0.2">
      <c r="B448" s="174"/>
      <c r="C448" s="174"/>
      <c r="D448" s="174"/>
      <c r="E448" s="174"/>
      <c r="F448" s="174"/>
    </row>
    <row r="449" spans="2:6" ht="12.75" customHeight="1" x14ac:dyDescent="0.2">
      <c r="B449" s="174"/>
      <c r="C449" s="174"/>
      <c r="D449" s="174"/>
      <c r="E449" s="174"/>
      <c r="F449" s="174"/>
    </row>
    <row r="450" spans="2:6" ht="12.75" customHeight="1" x14ac:dyDescent="0.2">
      <c r="B450" s="174"/>
      <c r="C450" s="174"/>
      <c r="D450" s="174"/>
      <c r="E450" s="174"/>
      <c r="F450" s="174"/>
    </row>
    <row r="451" spans="2:6" ht="12.75" customHeight="1" x14ac:dyDescent="0.2">
      <c r="B451" s="174"/>
      <c r="C451" s="174"/>
      <c r="D451" s="174"/>
      <c r="E451" s="174"/>
      <c r="F451" s="174"/>
    </row>
    <row r="452" spans="2:6" ht="12.75" customHeight="1" x14ac:dyDescent="0.2">
      <c r="B452" s="174"/>
      <c r="C452" s="174"/>
      <c r="D452" s="174"/>
      <c r="E452" s="174"/>
      <c r="F452" s="174"/>
    </row>
    <row r="453" spans="2:6" ht="12.75" customHeight="1" x14ac:dyDescent="0.2">
      <c r="B453" s="174"/>
      <c r="C453" s="174"/>
      <c r="D453" s="174"/>
      <c r="E453" s="174"/>
      <c r="F453" s="174"/>
    </row>
    <row r="454" spans="2:6" ht="12.75" customHeight="1" x14ac:dyDescent="0.2">
      <c r="B454" s="174"/>
      <c r="C454" s="174"/>
      <c r="D454" s="174"/>
      <c r="E454" s="174"/>
      <c r="F454" s="174"/>
    </row>
    <row r="455" spans="2:6" ht="12.75" customHeight="1" x14ac:dyDescent="0.2">
      <c r="B455" s="174"/>
      <c r="C455" s="174"/>
      <c r="D455" s="174"/>
      <c r="E455" s="174"/>
      <c r="F455" s="174"/>
    </row>
    <row r="456" spans="2:6" ht="12.75" customHeight="1" x14ac:dyDescent="0.2">
      <c r="B456" s="174"/>
      <c r="C456" s="174"/>
      <c r="D456" s="174"/>
      <c r="E456" s="174"/>
      <c r="F456" s="174"/>
    </row>
    <row r="457" spans="2:6" ht="12.75" customHeight="1" x14ac:dyDescent="0.2">
      <c r="B457" s="174"/>
      <c r="C457" s="174"/>
      <c r="D457" s="174"/>
      <c r="E457" s="174"/>
      <c r="F457" s="174"/>
    </row>
    <row r="458" spans="2:6" ht="12.75" customHeight="1" x14ac:dyDescent="0.2">
      <c r="B458" s="174"/>
      <c r="C458" s="174"/>
      <c r="D458" s="174"/>
      <c r="E458" s="174"/>
      <c r="F458" s="174"/>
    </row>
    <row r="459" spans="2:6" ht="12.75" customHeight="1" x14ac:dyDescent="0.2">
      <c r="B459" s="174"/>
      <c r="C459" s="174"/>
      <c r="D459" s="174"/>
      <c r="E459" s="174"/>
      <c r="F459" s="174"/>
    </row>
    <row r="460" spans="2:6" ht="12.75" customHeight="1" x14ac:dyDescent="0.2">
      <c r="B460" s="174"/>
      <c r="C460" s="174"/>
      <c r="D460" s="174"/>
      <c r="E460" s="174"/>
      <c r="F460" s="174"/>
    </row>
    <row r="461" spans="2:6" ht="12.75" customHeight="1" x14ac:dyDescent="0.2">
      <c r="B461" s="174"/>
      <c r="C461" s="174"/>
      <c r="D461" s="174"/>
      <c r="E461" s="174"/>
      <c r="F461" s="174"/>
    </row>
    <row r="462" spans="2:6" ht="12.75" customHeight="1" x14ac:dyDescent="0.2">
      <c r="B462" s="174"/>
      <c r="C462" s="174"/>
      <c r="D462" s="174"/>
      <c r="E462" s="174"/>
      <c r="F462" s="174"/>
    </row>
    <row r="463" spans="2:6" ht="12.75" customHeight="1" x14ac:dyDescent="0.2">
      <c r="B463" s="174"/>
      <c r="C463" s="174"/>
      <c r="D463" s="174"/>
      <c r="E463" s="174"/>
      <c r="F463" s="174"/>
    </row>
    <row r="464" spans="2:6" ht="12.75" customHeight="1" x14ac:dyDescent="0.2">
      <c r="B464" s="174"/>
      <c r="C464" s="174"/>
      <c r="D464" s="174"/>
      <c r="E464" s="174"/>
      <c r="F464" s="174"/>
    </row>
    <row r="465" spans="2:6" ht="12.75" customHeight="1" x14ac:dyDescent="0.2">
      <c r="B465" s="174"/>
      <c r="C465" s="174"/>
      <c r="D465" s="174"/>
      <c r="E465" s="174"/>
      <c r="F465" s="174"/>
    </row>
    <row r="466" spans="2:6" ht="12.75" customHeight="1" x14ac:dyDescent="0.2">
      <c r="B466" s="174"/>
      <c r="C466" s="174"/>
      <c r="D466" s="174"/>
      <c r="E466" s="174"/>
      <c r="F466" s="174"/>
    </row>
    <row r="467" spans="2:6" ht="12.75" customHeight="1" x14ac:dyDescent="0.2">
      <c r="B467" s="174"/>
      <c r="C467" s="174"/>
      <c r="D467" s="174"/>
      <c r="E467" s="174"/>
      <c r="F467" s="174"/>
    </row>
    <row r="468" spans="2:6" ht="12.75" customHeight="1" x14ac:dyDescent="0.2">
      <c r="B468" s="174"/>
      <c r="C468" s="174"/>
      <c r="D468" s="174"/>
      <c r="E468" s="174"/>
      <c r="F468" s="174"/>
    </row>
    <row r="469" spans="2:6" ht="12.75" customHeight="1" x14ac:dyDescent="0.2">
      <c r="B469" s="174"/>
      <c r="C469" s="174"/>
      <c r="D469" s="174"/>
      <c r="E469" s="174"/>
      <c r="F469" s="174"/>
    </row>
    <row r="470" spans="2:6" ht="12.75" customHeight="1" x14ac:dyDescent="0.2">
      <c r="B470" s="174"/>
      <c r="C470" s="174"/>
      <c r="D470" s="174"/>
      <c r="E470" s="174"/>
      <c r="F470" s="174"/>
    </row>
    <row r="471" spans="2:6" ht="12.75" customHeight="1" x14ac:dyDescent="0.2">
      <c r="B471" s="174"/>
      <c r="C471" s="174"/>
      <c r="D471" s="174"/>
      <c r="E471" s="174"/>
      <c r="F471" s="174"/>
    </row>
    <row r="472" spans="2:6" ht="12.75" customHeight="1" x14ac:dyDescent="0.2">
      <c r="B472" s="174"/>
      <c r="C472" s="174"/>
      <c r="D472" s="174"/>
      <c r="E472" s="174"/>
      <c r="F472" s="174"/>
    </row>
    <row r="473" spans="2:6" ht="12.75" customHeight="1" x14ac:dyDescent="0.2">
      <c r="B473" s="174"/>
      <c r="C473" s="174"/>
      <c r="D473" s="174"/>
      <c r="E473" s="174"/>
      <c r="F473" s="174"/>
    </row>
    <row r="474" spans="2:6" ht="12.75" customHeight="1" x14ac:dyDescent="0.2">
      <c r="B474" s="174"/>
      <c r="C474" s="174"/>
      <c r="D474" s="174"/>
      <c r="E474" s="174"/>
      <c r="F474" s="174"/>
    </row>
    <row r="475" spans="2:6" ht="12.75" customHeight="1" x14ac:dyDescent="0.2">
      <c r="B475" s="174"/>
      <c r="C475" s="174"/>
      <c r="D475" s="174"/>
      <c r="E475" s="174"/>
      <c r="F475" s="174"/>
    </row>
    <row r="476" spans="2:6" ht="12.75" customHeight="1" x14ac:dyDescent="0.2">
      <c r="B476" s="174"/>
      <c r="C476" s="174"/>
      <c r="D476" s="174"/>
      <c r="E476" s="174"/>
      <c r="F476" s="174"/>
    </row>
    <row r="477" spans="2:6" ht="12.75" customHeight="1" x14ac:dyDescent="0.2">
      <c r="B477" s="174"/>
      <c r="C477" s="174"/>
      <c r="D477" s="174"/>
      <c r="E477" s="174"/>
      <c r="F477" s="174"/>
    </row>
    <row r="478" spans="2:6" ht="12.75" customHeight="1" x14ac:dyDescent="0.2">
      <c r="B478" s="174"/>
      <c r="C478" s="174"/>
      <c r="D478" s="174"/>
      <c r="E478" s="174"/>
      <c r="F478" s="174"/>
    </row>
    <row r="479" spans="2:6" ht="12.75" customHeight="1" x14ac:dyDescent="0.2">
      <c r="B479" s="174"/>
      <c r="C479" s="174"/>
      <c r="D479" s="174"/>
      <c r="E479" s="174"/>
      <c r="F479" s="174"/>
    </row>
    <row r="480" spans="2:6" ht="12.75" customHeight="1" x14ac:dyDescent="0.2">
      <c r="B480" s="174"/>
      <c r="C480" s="174"/>
      <c r="D480" s="174"/>
      <c r="E480" s="174"/>
      <c r="F480" s="174"/>
    </row>
    <row r="481" spans="2:6" ht="12.75" customHeight="1" x14ac:dyDescent="0.2">
      <c r="B481" s="174"/>
      <c r="C481" s="174"/>
      <c r="D481" s="174"/>
      <c r="E481" s="174"/>
      <c r="F481" s="174"/>
    </row>
    <row r="482" spans="2:6" ht="12.75" customHeight="1" x14ac:dyDescent="0.2">
      <c r="B482" s="174"/>
      <c r="C482" s="174"/>
      <c r="D482" s="174"/>
      <c r="E482" s="174"/>
      <c r="F482" s="174"/>
    </row>
    <row r="483" spans="2:6" ht="12.75" customHeight="1" x14ac:dyDescent="0.2">
      <c r="B483" s="174"/>
      <c r="C483" s="174"/>
      <c r="D483" s="174"/>
      <c r="E483" s="174"/>
      <c r="F483" s="174"/>
    </row>
    <row r="484" spans="2:6" ht="12.75" customHeight="1" x14ac:dyDescent="0.2">
      <c r="B484" s="174"/>
      <c r="C484" s="174"/>
      <c r="D484" s="174"/>
      <c r="E484" s="174"/>
      <c r="F484" s="174"/>
    </row>
    <row r="485" spans="2:6" ht="12.75" customHeight="1" x14ac:dyDescent="0.2">
      <c r="B485" s="174"/>
      <c r="C485" s="174"/>
      <c r="D485" s="174"/>
      <c r="E485" s="174"/>
      <c r="F485" s="174"/>
    </row>
    <row r="486" spans="2:6" ht="12.75" customHeight="1" x14ac:dyDescent="0.2">
      <c r="B486" s="174"/>
      <c r="C486" s="174"/>
      <c r="D486" s="174"/>
      <c r="E486" s="174"/>
      <c r="F486" s="174"/>
    </row>
    <row r="487" spans="2:6" ht="12.75" customHeight="1" x14ac:dyDescent="0.2">
      <c r="B487" s="174"/>
      <c r="C487" s="174"/>
      <c r="D487" s="174"/>
      <c r="E487" s="174"/>
      <c r="F487" s="174"/>
    </row>
    <row r="488" spans="2:6" ht="12.75" customHeight="1" x14ac:dyDescent="0.2">
      <c r="B488" s="174"/>
      <c r="C488" s="174"/>
      <c r="D488" s="174"/>
      <c r="E488" s="174"/>
      <c r="F488" s="174"/>
    </row>
    <row r="489" spans="2:6" ht="12.75" customHeight="1" x14ac:dyDescent="0.2">
      <c r="B489" s="174"/>
      <c r="C489" s="174"/>
      <c r="D489" s="174"/>
      <c r="E489" s="174"/>
      <c r="F489" s="174"/>
    </row>
    <row r="490" spans="2:6" ht="12.75" customHeight="1" x14ac:dyDescent="0.2">
      <c r="B490" s="174"/>
      <c r="C490" s="174"/>
      <c r="D490" s="174"/>
      <c r="E490" s="174"/>
      <c r="F490" s="174"/>
    </row>
    <row r="491" spans="2:6" ht="12.75" customHeight="1" x14ac:dyDescent="0.2">
      <c r="B491" s="174"/>
      <c r="C491" s="174"/>
      <c r="D491" s="174"/>
      <c r="E491" s="174"/>
      <c r="F491" s="174"/>
    </row>
    <row r="492" spans="2:6" ht="12.75" customHeight="1" x14ac:dyDescent="0.2">
      <c r="B492" s="174"/>
      <c r="C492" s="174"/>
      <c r="D492" s="174"/>
      <c r="E492" s="174"/>
      <c r="F492" s="174"/>
    </row>
    <row r="493" spans="2:6" ht="12.75" customHeight="1" x14ac:dyDescent="0.2">
      <c r="B493" s="174"/>
      <c r="C493" s="174"/>
      <c r="D493" s="174"/>
      <c r="E493" s="174"/>
      <c r="F493" s="174"/>
    </row>
    <row r="494" spans="2:6" ht="12.75" customHeight="1" x14ac:dyDescent="0.2">
      <c r="B494" s="174"/>
      <c r="C494" s="174"/>
      <c r="D494" s="174"/>
      <c r="E494" s="174"/>
      <c r="F494" s="174"/>
    </row>
    <row r="495" spans="2:6" ht="12.75" customHeight="1" x14ac:dyDescent="0.2">
      <c r="B495" s="174"/>
      <c r="C495" s="174"/>
      <c r="D495" s="174"/>
      <c r="E495" s="174"/>
      <c r="F495" s="174"/>
    </row>
    <row r="496" spans="2:6" ht="12.75" customHeight="1" x14ac:dyDescent="0.2">
      <c r="B496" s="174"/>
      <c r="C496" s="174"/>
      <c r="D496" s="174"/>
      <c r="E496" s="174"/>
      <c r="F496" s="174"/>
    </row>
    <row r="497" spans="2:6" ht="12.75" customHeight="1" x14ac:dyDescent="0.2">
      <c r="B497" s="174"/>
      <c r="C497" s="174"/>
      <c r="D497" s="174"/>
      <c r="E497" s="174"/>
      <c r="F497" s="174"/>
    </row>
    <row r="498" spans="2:6" ht="12.75" customHeight="1" x14ac:dyDescent="0.2">
      <c r="B498" s="174"/>
      <c r="C498" s="174"/>
      <c r="D498" s="174"/>
      <c r="E498" s="174"/>
      <c r="F498" s="174"/>
    </row>
    <row r="499" spans="2:6" ht="12.75" customHeight="1" x14ac:dyDescent="0.2">
      <c r="B499" s="174"/>
      <c r="C499" s="174"/>
      <c r="D499" s="174"/>
      <c r="E499" s="174"/>
      <c r="F499" s="174"/>
    </row>
    <row r="500" spans="2:6" ht="12.75" customHeight="1" x14ac:dyDescent="0.2">
      <c r="B500" s="174"/>
      <c r="C500" s="174"/>
      <c r="D500" s="174"/>
      <c r="E500" s="174"/>
      <c r="F500" s="174"/>
    </row>
    <row r="501" spans="2:6" ht="12.75" customHeight="1" x14ac:dyDescent="0.2">
      <c r="B501" s="174"/>
      <c r="C501" s="174"/>
      <c r="D501" s="174"/>
      <c r="E501" s="174"/>
      <c r="F501" s="174"/>
    </row>
    <row r="502" spans="2:6" ht="12.75" customHeight="1" x14ac:dyDescent="0.2">
      <c r="B502" s="174"/>
      <c r="C502" s="174"/>
      <c r="D502" s="174"/>
      <c r="E502" s="174"/>
      <c r="F502" s="174"/>
    </row>
    <row r="503" spans="2:6" ht="12.75" customHeight="1" x14ac:dyDescent="0.2">
      <c r="B503" s="174"/>
      <c r="C503" s="174"/>
      <c r="D503" s="174"/>
      <c r="E503" s="174"/>
      <c r="F503" s="174"/>
    </row>
    <row r="504" spans="2:6" ht="12.75" customHeight="1" x14ac:dyDescent="0.2">
      <c r="B504" s="174"/>
      <c r="C504" s="174"/>
      <c r="D504" s="174"/>
      <c r="E504" s="174"/>
      <c r="F504" s="174"/>
    </row>
    <row r="505" spans="2:6" ht="12.75" customHeight="1" x14ac:dyDescent="0.2">
      <c r="B505" s="174"/>
      <c r="C505" s="174"/>
      <c r="D505" s="174"/>
      <c r="E505" s="174"/>
      <c r="F505" s="174"/>
    </row>
    <row r="506" spans="2:6" ht="12.75" customHeight="1" x14ac:dyDescent="0.2">
      <c r="B506" s="174"/>
      <c r="C506" s="174"/>
      <c r="D506" s="174"/>
      <c r="E506" s="174"/>
      <c r="F506" s="174"/>
    </row>
    <row r="507" spans="2:6" ht="12.75" customHeight="1" x14ac:dyDescent="0.2">
      <c r="B507" s="174"/>
      <c r="C507" s="174"/>
      <c r="D507" s="174"/>
      <c r="E507" s="174"/>
      <c r="F507" s="174"/>
    </row>
    <row r="508" spans="2:6" ht="12.75" customHeight="1" x14ac:dyDescent="0.2">
      <c r="B508" s="174"/>
      <c r="C508" s="174"/>
      <c r="D508" s="174"/>
      <c r="E508" s="174"/>
      <c r="F508" s="174"/>
    </row>
    <row r="509" spans="2:6" ht="12.75" customHeight="1" x14ac:dyDescent="0.2">
      <c r="B509" s="174"/>
      <c r="C509" s="174"/>
      <c r="D509" s="174"/>
      <c r="E509" s="174"/>
      <c r="F509" s="174"/>
    </row>
    <row r="510" spans="2:6" ht="12.75" customHeight="1" x14ac:dyDescent="0.2">
      <c r="B510" s="174"/>
      <c r="C510" s="174"/>
      <c r="D510" s="174"/>
      <c r="E510" s="174"/>
      <c r="F510" s="174"/>
    </row>
    <row r="511" spans="2:6" ht="12.75" customHeight="1" x14ac:dyDescent="0.2">
      <c r="B511" s="174"/>
      <c r="C511" s="174"/>
      <c r="D511" s="174"/>
      <c r="E511" s="174"/>
      <c r="F511" s="174"/>
    </row>
    <row r="512" spans="2:6" ht="12.75" customHeight="1" x14ac:dyDescent="0.2">
      <c r="B512" s="174"/>
      <c r="C512" s="174"/>
      <c r="D512" s="174"/>
      <c r="E512" s="174"/>
      <c r="F512" s="174"/>
    </row>
    <row r="513" spans="2:6" ht="12.75" customHeight="1" x14ac:dyDescent="0.2">
      <c r="B513" s="174"/>
      <c r="C513" s="174"/>
      <c r="D513" s="174"/>
      <c r="E513" s="174"/>
      <c r="F513" s="174"/>
    </row>
    <row r="514" spans="2:6" ht="12.75" customHeight="1" x14ac:dyDescent="0.2">
      <c r="B514" s="174"/>
      <c r="C514" s="174"/>
      <c r="D514" s="174"/>
      <c r="E514" s="174"/>
      <c r="F514" s="174"/>
    </row>
    <row r="515" spans="2:6" ht="12.75" customHeight="1" x14ac:dyDescent="0.2">
      <c r="B515" s="174"/>
      <c r="C515" s="174"/>
      <c r="D515" s="174"/>
      <c r="E515" s="174"/>
      <c r="F515" s="174"/>
    </row>
    <row r="516" spans="2:6" ht="12.75" customHeight="1" x14ac:dyDescent="0.2">
      <c r="B516" s="174"/>
      <c r="C516" s="174"/>
      <c r="D516" s="174"/>
      <c r="E516" s="174"/>
      <c r="F516" s="174"/>
    </row>
    <row r="517" spans="2:6" ht="12.75" customHeight="1" x14ac:dyDescent="0.2">
      <c r="B517" s="174"/>
      <c r="C517" s="174"/>
      <c r="D517" s="174"/>
      <c r="E517" s="174"/>
      <c r="F517" s="174"/>
    </row>
    <row r="518" spans="2:6" ht="12.75" customHeight="1" x14ac:dyDescent="0.2">
      <c r="B518" s="174"/>
      <c r="C518" s="174"/>
      <c r="D518" s="174"/>
      <c r="E518" s="174"/>
      <c r="F518" s="174"/>
    </row>
    <row r="519" spans="2:6" ht="12.75" customHeight="1" x14ac:dyDescent="0.2">
      <c r="B519" s="174"/>
      <c r="C519" s="174"/>
      <c r="D519" s="174"/>
      <c r="E519" s="174"/>
      <c r="F519" s="174"/>
    </row>
    <row r="520" spans="2:6" ht="12.75" customHeight="1" x14ac:dyDescent="0.2">
      <c r="B520" s="174"/>
      <c r="C520" s="174"/>
      <c r="D520" s="174"/>
      <c r="E520" s="174"/>
      <c r="F520" s="174"/>
    </row>
    <row r="521" spans="2:6" ht="12.75" customHeight="1" x14ac:dyDescent="0.2">
      <c r="B521" s="174"/>
      <c r="C521" s="174"/>
      <c r="D521" s="174"/>
      <c r="E521" s="174"/>
      <c r="F521" s="174"/>
    </row>
    <row r="522" spans="2:6" ht="12.75" customHeight="1" x14ac:dyDescent="0.2">
      <c r="B522" s="174"/>
      <c r="C522" s="174"/>
      <c r="D522" s="174"/>
      <c r="E522" s="174"/>
      <c r="F522" s="174"/>
    </row>
    <row r="523" spans="2:6" ht="12.75" customHeight="1" x14ac:dyDescent="0.2">
      <c r="B523" s="174"/>
      <c r="C523" s="174"/>
      <c r="D523" s="174"/>
      <c r="E523" s="174"/>
      <c r="F523" s="174"/>
    </row>
    <row r="524" spans="2:6" ht="12.75" customHeight="1" x14ac:dyDescent="0.2">
      <c r="B524" s="174"/>
      <c r="C524" s="174"/>
      <c r="D524" s="174"/>
      <c r="E524" s="174"/>
      <c r="F524" s="174"/>
    </row>
    <row r="525" spans="2:6" ht="12.75" customHeight="1" x14ac:dyDescent="0.2">
      <c r="B525" s="174"/>
      <c r="C525" s="174"/>
      <c r="D525" s="174"/>
      <c r="E525" s="174"/>
      <c r="F525" s="174"/>
    </row>
    <row r="526" spans="2:6" ht="12.75" customHeight="1" x14ac:dyDescent="0.2">
      <c r="B526" s="174"/>
      <c r="C526" s="174"/>
      <c r="D526" s="174"/>
      <c r="E526" s="174"/>
      <c r="F526" s="174"/>
    </row>
    <row r="527" spans="2:6" ht="12.75" customHeight="1" x14ac:dyDescent="0.2">
      <c r="B527" s="174"/>
      <c r="C527" s="174"/>
      <c r="D527" s="174"/>
      <c r="E527" s="174"/>
      <c r="F527" s="174"/>
    </row>
    <row r="528" spans="2:6" ht="12.75" customHeight="1" x14ac:dyDescent="0.2">
      <c r="B528" s="174"/>
      <c r="C528" s="174"/>
      <c r="D528" s="174"/>
      <c r="E528" s="174"/>
      <c r="F528" s="174"/>
    </row>
    <row r="529" spans="2:6" ht="12.75" customHeight="1" x14ac:dyDescent="0.2">
      <c r="B529" s="174"/>
      <c r="C529" s="174"/>
      <c r="D529" s="174"/>
      <c r="E529" s="174"/>
      <c r="F529" s="174"/>
    </row>
    <row r="530" spans="2:6" ht="12.75" customHeight="1" x14ac:dyDescent="0.2">
      <c r="B530" s="174"/>
      <c r="C530" s="174"/>
      <c r="D530" s="174"/>
      <c r="E530" s="174"/>
      <c r="F530" s="174"/>
    </row>
    <row r="531" spans="2:6" ht="12.75" customHeight="1" x14ac:dyDescent="0.2">
      <c r="B531" s="174"/>
      <c r="C531" s="174"/>
      <c r="D531" s="174"/>
      <c r="E531" s="174"/>
      <c r="F531" s="174"/>
    </row>
    <row r="532" spans="2:6" ht="12.75" customHeight="1" x14ac:dyDescent="0.2">
      <c r="B532" s="174"/>
      <c r="C532" s="174"/>
      <c r="D532" s="174"/>
      <c r="E532" s="174"/>
      <c r="F532" s="174"/>
    </row>
    <row r="533" spans="2:6" ht="12.75" customHeight="1" x14ac:dyDescent="0.2">
      <c r="B533" s="174"/>
      <c r="C533" s="174"/>
      <c r="D533" s="174"/>
      <c r="E533" s="174"/>
      <c r="F533" s="174"/>
    </row>
    <row r="534" spans="2:6" ht="12.75" customHeight="1" x14ac:dyDescent="0.2">
      <c r="B534" s="174"/>
      <c r="C534" s="174"/>
      <c r="D534" s="174"/>
      <c r="E534" s="174"/>
      <c r="F534" s="174"/>
    </row>
    <row r="535" spans="2:6" ht="12.75" customHeight="1" x14ac:dyDescent="0.2">
      <c r="B535" s="174"/>
      <c r="C535" s="174"/>
      <c r="D535" s="174"/>
      <c r="E535" s="174"/>
      <c r="F535" s="174"/>
    </row>
    <row r="536" spans="2:6" ht="12.75" customHeight="1" x14ac:dyDescent="0.2">
      <c r="B536" s="174"/>
      <c r="C536" s="174"/>
      <c r="D536" s="174"/>
      <c r="E536" s="174"/>
      <c r="F536" s="174"/>
    </row>
    <row r="537" spans="2:6" ht="12.75" customHeight="1" x14ac:dyDescent="0.2">
      <c r="B537" s="174"/>
      <c r="C537" s="174"/>
      <c r="D537" s="174"/>
      <c r="E537" s="174"/>
      <c r="F537" s="174"/>
    </row>
    <row r="538" spans="2:6" ht="12.75" customHeight="1" x14ac:dyDescent="0.2">
      <c r="B538" s="174"/>
      <c r="C538" s="174"/>
      <c r="D538" s="174"/>
      <c r="E538" s="174"/>
      <c r="F538" s="174"/>
    </row>
    <row r="539" spans="2:6" ht="12.75" customHeight="1" x14ac:dyDescent="0.2">
      <c r="B539" s="174"/>
      <c r="C539" s="174"/>
      <c r="D539" s="174"/>
      <c r="E539" s="174"/>
      <c r="F539" s="174"/>
    </row>
    <row r="540" spans="2:6" ht="12.75" customHeight="1" x14ac:dyDescent="0.2">
      <c r="B540" s="174"/>
      <c r="C540" s="174"/>
      <c r="D540" s="174"/>
      <c r="E540" s="174"/>
      <c r="F540" s="174"/>
    </row>
    <row r="541" spans="2:6" ht="12.75" customHeight="1" x14ac:dyDescent="0.2">
      <c r="B541" s="174"/>
      <c r="C541" s="174"/>
      <c r="D541" s="174"/>
      <c r="E541" s="174"/>
      <c r="F541" s="174"/>
    </row>
    <row r="542" spans="2:6" ht="12.75" customHeight="1" x14ac:dyDescent="0.2">
      <c r="B542" s="174"/>
      <c r="C542" s="174"/>
      <c r="D542" s="174"/>
      <c r="E542" s="174"/>
      <c r="F542" s="174"/>
    </row>
    <row r="543" spans="2:6" ht="12.75" customHeight="1" x14ac:dyDescent="0.2">
      <c r="B543" s="174"/>
      <c r="C543" s="174"/>
      <c r="D543" s="174"/>
      <c r="E543" s="174"/>
      <c r="F543" s="174"/>
    </row>
    <row r="544" spans="2:6" ht="12.75" customHeight="1" x14ac:dyDescent="0.2">
      <c r="B544" s="174"/>
      <c r="C544" s="174"/>
      <c r="D544" s="174"/>
      <c r="E544" s="174"/>
      <c r="F544" s="174"/>
    </row>
    <row r="545" spans="2:6" ht="12.75" customHeight="1" x14ac:dyDescent="0.2">
      <c r="B545" s="174"/>
      <c r="C545" s="174"/>
      <c r="D545" s="174"/>
      <c r="E545" s="174"/>
      <c r="F545" s="174"/>
    </row>
    <row r="546" spans="2:6" ht="12.75" customHeight="1" x14ac:dyDescent="0.2">
      <c r="B546" s="174"/>
      <c r="C546" s="174"/>
      <c r="D546" s="174"/>
      <c r="E546" s="174"/>
      <c r="F546" s="174"/>
    </row>
    <row r="547" spans="2:6" ht="12.75" customHeight="1" x14ac:dyDescent="0.2">
      <c r="B547" s="174"/>
      <c r="C547" s="174"/>
      <c r="D547" s="174"/>
      <c r="E547" s="174"/>
      <c r="F547" s="174"/>
    </row>
    <row r="548" spans="2:6" ht="12.75" customHeight="1" x14ac:dyDescent="0.2">
      <c r="B548" s="174"/>
      <c r="C548" s="174"/>
      <c r="D548" s="174"/>
      <c r="E548" s="174"/>
      <c r="F548" s="174"/>
    </row>
    <row r="549" spans="2:6" ht="12.75" customHeight="1" x14ac:dyDescent="0.2">
      <c r="B549" s="174"/>
      <c r="C549" s="174"/>
      <c r="D549" s="174"/>
      <c r="E549" s="174"/>
      <c r="F549" s="174"/>
    </row>
    <row r="550" spans="2:6" ht="12.75" customHeight="1" x14ac:dyDescent="0.2">
      <c r="B550" s="174"/>
      <c r="C550" s="174"/>
      <c r="D550" s="174"/>
      <c r="E550" s="174"/>
      <c r="F550" s="174"/>
    </row>
    <row r="551" spans="2:6" ht="12.75" customHeight="1" x14ac:dyDescent="0.2">
      <c r="B551" s="174"/>
      <c r="C551" s="174"/>
      <c r="D551" s="174"/>
      <c r="E551" s="174"/>
      <c r="F551" s="174"/>
    </row>
    <row r="552" spans="2:6" ht="12.75" customHeight="1" x14ac:dyDescent="0.2">
      <c r="B552" s="174"/>
      <c r="C552" s="174"/>
      <c r="D552" s="174"/>
      <c r="E552" s="174"/>
      <c r="F552" s="174"/>
    </row>
    <row r="553" spans="2:6" ht="12.75" customHeight="1" x14ac:dyDescent="0.2">
      <c r="B553" s="174"/>
      <c r="C553" s="174"/>
      <c r="D553" s="174"/>
      <c r="E553" s="174"/>
      <c r="F553" s="174"/>
    </row>
    <row r="554" spans="2:6" ht="12.75" customHeight="1" x14ac:dyDescent="0.2">
      <c r="B554" s="174"/>
      <c r="C554" s="174"/>
      <c r="D554" s="174"/>
      <c r="E554" s="174"/>
      <c r="F554" s="174"/>
    </row>
    <row r="555" spans="2:6" ht="12.75" customHeight="1" x14ac:dyDescent="0.2">
      <c r="B555" s="174"/>
      <c r="C555" s="174"/>
      <c r="D555" s="174"/>
      <c r="E555" s="174"/>
      <c r="F555" s="174"/>
    </row>
    <row r="556" spans="2:6" ht="12.75" customHeight="1" x14ac:dyDescent="0.2">
      <c r="B556" s="174"/>
      <c r="C556" s="174"/>
      <c r="D556" s="174"/>
      <c r="E556" s="174"/>
      <c r="F556" s="174"/>
    </row>
    <row r="557" spans="2:6" ht="12.75" customHeight="1" x14ac:dyDescent="0.2">
      <c r="B557" s="174"/>
      <c r="C557" s="174"/>
      <c r="D557" s="174"/>
      <c r="E557" s="174"/>
      <c r="F557" s="174"/>
    </row>
    <row r="558" spans="2:6" ht="12.75" customHeight="1" x14ac:dyDescent="0.2">
      <c r="B558" s="174"/>
      <c r="C558" s="174"/>
      <c r="D558" s="174"/>
      <c r="E558" s="174"/>
      <c r="F558" s="174"/>
    </row>
    <row r="559" spans="2:6" ht="12.75" customHeight="1" x14ac:dyDescent="0.2">
      <c r="B559" s="174"/>
      <c r="C559" s="174"/>
      <c r="D559" s="174"/>
      <c r="E559" s="174"/>
      <c r="F559" s="174"/>
    </row>
    <row r="560" spans="2:6" ht="12.75" customHeight="1" x14ac:dyDescent="0.2">
      <c r="B560" s="174"/>
      <c r="C560" s="174"/>
      <c r="D560" s="174"/>
      <c r="E560" s="174"/>
      <c r="F560" s="174"/>
    </row>
    <row r="561" spans="2:6" ht="12.75" customHeight="1" x14ac:dyDescent="0.2">
      <c r="B561" s="174"/>
      <c r="C561" s="174"/>
      <c r="D561" s="174"/>
      <c r="E561" s="174"/>
      <c r="F561" s="174"/>
    </row>
    <row r="562" spans="2:6" ht="12.75" customHeight="1" x14ac:dyDescent="0.2">
      <c r="B562" s="174"/>
      <c r="C562" s="174"/>
      <c r="D562" s="174"/>
      <c r="E562" s="174"/>
      <c r="F562" s="174"/>
    </row>
    <row r="563" spans="2:6" ht="12.75" customHeight="1" x14ac:dyDescent="0.2">
      <c r="B563" s="174"/>
      <c r="C563" s="174"/>
      <c r="D563" s="174"/>
      <c r="E563" s="174"/>
      <c r="F563" s="174"/>
    </row>
    <row r="564" spans="2:6" ht="12.75" customHeight="1" x14ac:dyDescent="0.2">
      <c r="B564" s="174"/>
      <c r="C564" s="174"/>
      <c r="D564" s="174"/>
      <c r="E564" s="174"/>
      <c r="F564" s="174"/>
    </row>
    <row r="565" spans="2:6" ht="12.75" customHeight="1" x14ac:dyDescent="0.2">
      <c r="B565" s="174"/>
      <c r="C565" s="174"/>
      <c r="D565" s="174"/>
      <c r="E565" s="174"/>
      <c r="F565" s="174"/>
    </row>
    <row r="566" spans="2:6" ht="12.75" customHeight="1" x14ac:dyDescent="0.2">
      <c r="B566" s="174"/>
      <c r="C566" s="174"/>
      <c r="D566" s="174"/>
      <c r="E566" s="174"/>
      <c r="F566" s="174"/>
    </row>
    <row r="567" spans="2:6" ht="12.75" customHeight="1" x14ac:dyDescent="0.2">
      <c r="B567" s="174"/>
      <c r="C567" s="174"/>
      <c r="D567" s="174"/>
      <c r="E567" s="174"/>
      <c r="F567" s="174"/>
    </row>
    <row r="568" spans="2:6" ht="12.75" customHeight="1" x14ac:dyDescent="0.2">
      <c r="B568" s="174"/>
      <c r="C568" s="174"/>
      <c r="D568" s="174"/>
      <c r="E568" s="174"/>
      <c r="F568" s="174"/>
    </row>
    <row r="569" spans="2:6" ht="12.75" customHeight="1" x14ac:dyDescent="0.2">
      <c r="B569" s="174"/>
      <c r="C569" s="174"/>
      <c r="D569" s="174"/>
      <c r="E569" s="174"/>
      <c r="F569" s="174"/>
    </row>
    <row r="570" spans="2:6" ht="12.75" customHeight="1" x14ac:dyDescent="0.2">
      <c r="B570" s="174"/>
      <c r="C570" s="174"/>
      <c r="D570" s="174"/>
      <c r="E570" s="174"/>
      <c r="F570" s="174"/>
    </row>
    <row r="571" spans="2:6" ht="12.75" customHeight="1" x14ac:dyDescent="0.2">
      <c r="B571" s="174"/>
      <c r="C571" s="174"/>
      <c r="D571" s="174"/>
      <c r="E571" s="174"/>
      <c r="F571" s="174"/>
    </row>
    <row r="572" spans="2:6" ht="12.75" customHeight="1" x14ac:dyDescent="0.2">
      <c r="B572" s="174"/>
      <c r="C572" s="174"/>
      <c r="D572" s="174"/>
      <c r="E572" s="174"/>
      <c r="F572" s="174"/>
    </row>
    <row r="573" spans="2:6" ht="12.75" customHeight="1" x14ac:dyDescent="0.2">
      <c r="B573" s="174"/>
      <c r="C573" s="174"/>
      <c r="D573" s="174"/>
      <c r="E573" s="174"/>
      <c r="F573" s="174"/>
    </row>
    <row r="574" spans="2:6" ht="12.75" customHeight="1" x14ac:dyDescent="0.2">
      <c r="B574" s="174"/>
      <c r="C574" s="174"/>
      <c r="D574" s="174"/>
      <c r="E574" s="174"/>
      <c r="F574" s="174"/>
    </row>
    <row r="575" spans="2:6" ht="12.75" customHeight="1" x14ac:dyDescent="0.2">
      <c r="B575" s="174"/>
      <c r="C575" s="174"/>
      <c r="D575" s="174"/>
      <c r="E575" s="174"/>
      <c r="F575" s="174"/>
    </row>
    <row r="576" spans="2:6" ht="12.75" customHeight="1" x14ac:dyDescent="0.2">
      <c r="B576" s="174"/>
      <c r="C576" s="174"/>
      <c r="D576" s="174"/>
      <c r="E576" s="174"/>
      <c r="F576" s="174"/>
    </row>
    <row r="577" spans="2:6" ht="12.75" customHeight="1" x14ac:dyDescent="0.2">
      <c r="B577" s="174"/>
      <c r="C577" s="174"/>
      <c r="D577" s="174"/>
      <c r="E577" s="174"/>
      <c r="F577" s="174"/>
    </row>
    <row r="578" spans="2:6" ht="12.75" customHeight="1" x14ac:dyDescent="0.2">
      <c r="B578" s="174"/>
      <c r="C578" s="174"/>
      <c r="D578" s="174"/>
      <c r="E578" s="174"/>
      <c r="F578" s="174"/>
    </row>
    <row r="579" spans="2:6" ht="12.75" customHeight="1" x14ac:dyDescent="0.2">
      <c r="B579" s="174"/>
      <c r="C579" s="174"/>
      <c r="D579" s="174"/>
      <c r="E579" s="174"/>
      <c r="F579" s="174"/>
    </row>
    <row r="580" spans="2:6" ht="12.75" customHeight="1" x14ac:dyDescent="0.2">
      <c r="B580" s="174"/>
      <c r="C580" s="174"/>
      <c r="D580" s="174"/>
      <c r="E580" s="174"/>
      <c r="F580" s="174"/>
    </row>
    <row r="581" spans="2:6" ht="12.75" customHeight="1" x14ac:dyDescent="0.2">
      <c r="B581" s="174"/>
      <c r="C581" s="174"/>
      <c r="D581" s="174"/>
      <c r="E581" s="174"/>
      <c r="F581" s="174"/>
    </row>
    <row r="582" spans="2:6" ht="12.75" customHeight="1" x14ac:dyDescent="0.2">
      <c r="B582" s="174"/>
      <c r="C582" s="174"/>
      <c r="D582" s="174"/>
      <c r="E582" s="174"/>
      <c r="F582" s="174"/>
    </row>
    <row r="583" spans="2:6" ht="12.75" customHeight="1" x14ac:dyDescent="0.2">
      <c r="B583" s="174"/>
      <c r="C583" s="174"/>
      <c r="D583" s="174"/>
      <c r="E583" s="174"/>
      <c r="F583" s="174"/>
    </row>
    <row r="584" spans="2:6" ht="12.75" customHeight="1" x14ac:dyDescent="0.2">
      <c r="B584" s="174"/>
      <c r="C584" s="174"/>
      <c r="D584" s="174"/>
      <c r="E584" s="174"/>
      <c r="F584" s="174"/>
    </row>
    <row r="585" spans="2:6" ht="12.75" customHeight="1" x14ac:dyDescent="0.2">
      <c r="B585" s="174"/>
      <c r="C585" s="174"/>
      <c r="D585" s="174"/>
      <c r="E585" s="174"/>
      <c r="F585" s="174"/>
    </row>
    <row r="586" spans="2:6" ht="12.75" customHeight="1" x14ac:dyDescent="0.2">
      <c r="B586" s="174"/>
      <c r="C586" s="174"/>
      <c r="D586" s="174"/>
      <c r="E586" s="174"/>
      <c r="F586" s="174"/>
    </row>
    <row r="587" spans="2:6" ht="12.75" customHeight="1" x14ac:dyDescent="0.2">
      <c r="B587" s="174"/>
      <c r="C587" s="174"/>
      <c r="D587" s="174"/>
      <c r="E587" s="174"/>
      <c r="F587" s="174"/>
    </row>
    <row r="588" spans="2:6" ht="12.75" customHeight="1" x14ac:dyDescent="0.2">
      <c r="B588" s="174"/>
      <c r="C588" s="174"/>
      <c r="D588" s="174"/>
      <c r="E588" s="174"/>
      <c r="F588" s="174"/>
    </row>
    <row r="589" spans="2:6" ht="12.75" customHeight="1" x14ac:dyDescent="0.2">
      <c r="B589" s="174"/>
      <c r="C589" s="174"/>
      <c r="D589" s="174"/>
      <c r="E589" s="174"/>
      <c r="F589" s="174"/>
    </row>
    <row r="590" spans="2:6" ht="12.75" customHeight="1" x14ac:dyDescent="0.2">
      <c r="B590" s="174"/>
      <c r="C590" s="174"/>
      <c r="D590" s="174"/>
      <c r="E590" s="174"/>
      <c r="F590" s="174"/>
    </row>
    <row r="591" spans="2:6" ht="12.75" customHeight="1" x14ac:dyDescent="0.2">
      <c r="B591" s="174"/>
      <c r="C591" s="174"/>
      <c r="D591" s="174"/>
      <c r="E591" s="174"/>
      <c r="F591" s="174"/>
    </row>
    <row r="592" spans="2:6" ht="12.75" customHeight="1" x14ac:dyDescent="0.2">
      <c r="B592" s="174"/>
      <c r="C592" s="174"/>
      <c r="D592" s="174"/>
      <c r="E592" s="174"/>
      <c r="F592" s="174"/>
    </row>
    <row r="593" spans="2:6" ht="12.75" customHeight="1" x14ac:dyDescent="0.2">
      <c r="B593" s="174"/>
      <c r="C593" s="174"/>
      <c r="D593" s="174"/>
      <c r="E593" s="174"/>
      <c r="F593" s="174"/>
    </row>
    <row r="594" spans="2:6" ht="12.75" customHeight="1" x14ac:dyDescent="0.2">
      <c r="B594" s="174"/>
      <c r="C594" s="174"/>
      <c r="D594" s="174"/>
      <c r="E594" s="174"/>
      <c r="F594" s="174"/>
    </row>
    <row r="595" spans="2:6" ht="12.75" customHeight="1" x14ac:dyDescent="0.2">
      <c r="B595" s="174"/>
      <c r="C595" s="174"/>
      <c r="D595" s="174"/>
      <c r="E595" s="174"/>
      <c r="F595" s="174"/>
    </row>
    <row r="596" spans="2:6" ht="12.75" customHeight="1" x14ac:dyDescent="0.2">
      <c r="B596" s="174"/>
      <c r="C596" s="174"/>
      <c r="D596" s="174"/>
      <c r="E596" s="174"/>
      <c r="F596" s="174"/>
    </row>
    <row r="597" spans="2:6" ht="12.75" customHeight="1" x14ac:dyDescent="0.2">
      <c r="B597" s="174"/>
      <c r="C597" s="174"/>
      <c r="D597" s="174"/>
      <c r="E597" s="174"/>
      <c r="F597" s="174"/>
    </row>
    <row r="598" spans="2:6" ht="12.75" customHeight="1" x14ac:dyDescent="0.2">
      <c r="B598" s="174"/>
      <c r="C598" s="174"/>
      <c r="D598" s="174"/>
      <c r="E598" s="174"/>
      <c r="F598" s="174"/>
    </row>
    <row r="599" spans="2:6" ht="12.75" customHeight="1" x14ac:dyDescent="0.2">
      <c r="B599" s="174"/>
      <c r="C599" s="174"/>
      <c r="D599" s="174"/>
      <c r="E599" s="174"/>
      <c r="F599" s="174"/>
    </row>
    <row r="600" spans="2:6" ht="12.75" customHeight="1" x14ac:dyDescent="0.2">
      <c r="B600" s="174"/>
      <c r="C600" s="174"/>
      <c r="D600" s="174"/>
      <c r="E600" s="174"/>
      <c r="F600" s="174"/>
    </row>
    <row r="601" spans="2:6" ht="12.75" customHeight="1" x14ac:dyDescent="0.2">
      <c r="B601" s="174"/>
      <c r="C601" s="174"/>
      <c r="D601" s="174"/>
      <c r="E601" s="174"/>
      <c r="F601" s="174"/>
    </row>
    <row r="602" spans="2:6" ht="12.75" customHeight="1" x14ac:dyDescent="0.2">
      <c r="B602" s="174"/>
      <c r="C602" s="174"/>
      <c r="D602" s="174"/>
      <c r="E602" s="174"/>
      <c r="F602" s="174"/>
    </row>
    <row r="603" spans="2:6" ht="12.75" customHeight="1" x14ac:dyDescent="0.2">
      <c r="B603" s="174"/>
      <c r="C603" s="174"/>
      <c r="D603" s="174"/>
      <c r="E603" s="174"/>
      <c r="F603" s="174"/>
    </row>
    <row r="604" spans="2:6" ht="12.75" customHeight="1" x14ac:dyDescent="0.2">
      <c r="B604" s="174"/>
      <c r="C604" s="174"/>
      <c r="D604" s="174"/>
      <c r="E604" s="174"/>
      <c r="F604" s="174"/>
    </row>
    <row r="605" spans="2:6" ht="12.75" customHeight="1" x14ac:dyDescent="0.2">
      <c r="B605" s="174"/>
      <c r="C605" s="174"/>
      <c r="D605" s="174"/>
      <c r="E605" s="174"/>
      <c r="F605" s="174"/>
    </row>
    <row r="606" spans="2:6" ht="12.75" customHeight="1" x14ac:dyDescent="0.2">
      <c r="B606" s="174"/>
      <c r="C606" s="174"/>
      <c r="D606" s="174"/>
      <c r="E606" s="174"/>
      <c r="F606" s="174"/>
    </row>
    <row r="607" spans="2:6" ht="12.75" customHeight="1" x14ac:dyDescent="0.2">
      <c r="B607" s="174"/>
      <c r="C607" s="174"/>
      <c r="D607" s="174"/>
      <c r="E607" s="174"/>
      <c r="F607" s="174"/>
    </row>
    <row r="608" spans="2:6" ht="12.75" customHeight="1" x14ac:dyDescent="0.2">
      <c r="B608" s="174"/>
      <c r="C608" s="174"/>
      <c r="D608" s="174"/>
      <c r="E608" s="174"/>
      <c r="F608" s="174"/>
    </row>
    <row r="609" spans="2:6" ht="12.75" customHeight="1" x14ac:dyDescent="0.2">
      <c r="B609" s="174"/>
      <c r="C609" s="174"/>
      <c r="D609" s="174"/>
      <c r="E609" s="174"/>
      <c r="F609" s="174"/>
    </row>
    <row r="610" spans="2:6" ht="12.75" customHeight="1" x14ac:dyDescent="0.2">
      <c r="B610" s="174"/>
      <c r="C610" s="174"/>
      <c r="D610" s="174"/>
      <c r="E610" s="174"/>
      <c r="F610" s="174"/>
    </row>
    <row r="611" spans="2:6" ht="12.75" customHeight="1" x14ac:dyDescent="0.2">
      <c r="B611" s="174"/>
      <c r="C611" s="174"/>
      <c r="D611" s="174"/>
      <c r="E611" s="174"/>
      <c r="F611" s="174"/>
    </row>
    <row r="612" spans="2:6" ht="12.75" customHeight="1" x14ac:dyDescent="0.2">
      <c r="B612" s="174"/>
      <c r="C612" s="174"/>
      <c r="D612" s="174"/>
      <c r="E612" s="174"/>
      <c r="F612" s="174"/>
    </row>
    <row r="613" spans="2:6" ht="12.75" customHeight="1" x14ac:dyDescent="0.2">
      <c r="B613" s="174"/>
      <c r="C613" s="174"/>
      <c r="D613" s="174"/>
      <c r="E613" s="174"/>
      <c r="F613" s="174"/>
    </row>
    <row r="614" spans="2:6" ht="12.75" customHeight="1" x14ac:dyDescent="0.2">
      <c r="B614" s="174"/>
      <c r="C614" s="174"/>
      <c r="D614" s="174"/>
      <c r="E614" s="174"/>
      <c r="F614" s="174"/>
    </row>
    <row r="615" spans="2:6" ht="12.75" customHeight="1" x14ac:dyDescent="0.2">
      <c r="B615" s="174"/>
      <c r="C615" s="174"/>
      <c r="D615" s="174"/>
      <c r="E615" s="174"/>
      <c r="F615" s="174"/>
    </row>
    <row r="616" spans="2:6" ht="12.75" customHeight="1" x14ac:dyDescent="0.2">
      <c r="B616" s="174"/>
      <c r="C616" s="174"/>
      <c r="D616" s="174"/>
      <c r="E616" s="174"/>
      <c r="F616" s="174"/>
    </row>
    <row r="617" spans="2:6" ht="12.75" customHeight="1" x14ac:dyDescent="0.2">
      <c r="B617" s="174"/>
      <c r="C617" s="174"/>
      <c r="D617" s="174"/>
      <c r="E617" s="174"/>
      <c r="F617" s="174"/>
    </row>
    <row r="618" spans="2:6" ht="12.75" customHeight="1" x14ac:dyDescent="0.2">
      <c r="B618" s="174"/>
      <c r="C618" s="174"/>
      <c r="D618" s="174"/>
      <c r="E618" s="174"/>
      <c r="F618" s="174"/>
    </row>
    <row r="619" spans="2:6" ht="12.75" customHeight="1" x14ac:dyDescent="0.2">
      <c r="B619" s="174"/>
      <c r="C619" s="174"/>
      <c r="D619" s="174"/>
      <c r="E619" s="174"/>
      <c r="F619" s="174"/>
    </row>
    <row r="620" spans="2:6" ht="12.75" customHeight="1" x14ac:dyDescent="0.2">
      <c r="B620" s="174"/>
      <c r="C620" s="174"/>
      <c r="D620" s="174"/>
      <c r="E620" s="174"/>
      <c r="F620" s="174"/>
    </row>
    <row r="621" spans="2:6" ht="12.75" customHeight="1" x14ac:dyDescent="0.2">
      <c r="B621" s="174"/>
      <c r="C621" s="174"/>
      <c r="D621" s="174"/>
      <c r="E621" s="174"/>
      <c r="F621" s="174"/>
    </row>
    <row r="622" spans="2:6" ht="12.75" customHeight="1" x14ac:dyDescent="0.2">
      <c r="B622" s="174"/>
      <c r="C622" s="174"/>
      <c r="D622" s="174"/>
      <c r="E622" s="174"/>
      <c r="F622" s="174"/>
    </row>
    <row r="623" spans="2:6" ht="12.75" customHeight="1" x14ac:dyDescent="0.2">
      <c r="B623" s="174"/>
      <c r="C623" s="174"/>
      <c r="D623" s="174"/>
      <c r="E623" s="174"/>
      <c r="F623" s="174"/>
    </row>
    <row r="624" spans="2:6" ht="12.75" customHeight="1" x14ac:dyDescent="0.2">
      <c r="B624" s="174"/>
      <c r="C624" s="174"/>
      <c r="D624" s="174"/>
      <c r="E624" s="174"/>
      <c r="F624" s="174"/>
    </row>
    <row r="625" spans="2:6" ht="12.75" customHeight="1" x14ac:dyDescent="0.2">
      <c r="B625" s="174"/>
      <c r="C625" s="174"/>
      <c r="D625" s="174"/>
      <c r="E625" s="174"/>
      <c r="F625" s="174"/>
    </row>
    <row r="626" spans="2:6" ht="12.75" customHeight="1" x14ac:dyDescent="0.2">
      <c r="B626" s="174"/>
      <c r="C626" s="174"/>
      <c r="D626" s="174"/>
      <c r="E626" s="174"/>
      <c r="F626" s="174"/>
    </row>
    <row r="627" spans="2:6" ht="12.75" customHeight="1" x14ac:dyDescent="0.2">
      <c r="B627" s="174"/>
      <c r="C627" s="174"/>
      <c r="D627" s="174"/>
      <c r="E627" s="174"/>
      <c r="F627" s="174"/>
    </row>
    <row r="628" spans="2:6" ht="12.75" customHeight="1" x14ac:dyDescent="0.2">
      <c r="B628" s="174"/>
      <c r="C628" s="174"/>
      <c r="D628" s="174"/>
      <c r="E628" s="174"/>
      <c r="F628" s="174"/>
    </row>
    <row r="629" spans="2:6" ht="12.75" customHeight="1" x14ac:dyDescent="0.2">
      <c r="B629" s="174"/>
      <c r="C629" s="174"/>
      <c r="D629" s="174"/>
      <c r="E629" s="174"/>
      <c r="F629" s="174"/>
    </row>
    <row r="630" spans="2:6" ht="12.75" customHeight="1" x14ac:dyDescent="0.2">
      <c r="B630" s="174"/>
      <c r="C630" s="174"/>
      <c r="D630" s="174"/>
      <c r="E630" s="174"/>
      <c r="F630" s="174"/>
    </row>
    <row r="631" spans="2:6" ht="12.75" customHeight="1" x14ac:dyDescent="0.2">
      <c r="B631" s="174"/>
      <c r="C631" s="174"/>
      <c r="D631" s="174"/>
      <c r="E631" s="174"/>
      <c r="F631" s="174"/>
    </row>
    <row r="632" spans="2:6" ht="12.75" customHeight="1" x14ac:dyDescent="0.2">
      <c r="B632" s="174"/>
      <c r="C632" s="174"/>
      <c r="D632" s="174"/>
      <c r="E632" s="174"/>
      <c r="F632" s="174"/>
    </row>
    <row r="633" spans="2:6" ht="12.75" customHeight="1" x14ac:dyDescent="0.2">
      <c r="B633" s="174"/>
      <c r="C633" s="174"/>
      <c r="D633" s="174"/>
      <c r="E633" s="174"/>
      <c r="F633" s="174"/>
    </row>
    <row r="634" spans="2:6" ht="12.75" customHeight="1" x14ac:dyDescent="0.2">
      <c r="B634" s="174"/>
      <c r="C634" s="174"/>
      <c r="D634" s="174"/>
      <c r="E634" s="174"/>
      <c r="F634" s="174"/>
    </row>
    <row r="635" spans="2:6" ht="12.75" customHeight="1" x14ac:dyDescent="0.2">
      <c r="B635" s="174"/>
      <c r="C635" s="174"/>
      <c r="D635" s="174"/>
      <c r="E635" s="174"/>
      <c r="F635" s="174"/>
    </row>
    <row r="636" spans="2:6" ht="12.75" customHeight="1" x14ac:dyDescent="0.2">
      <c r="B636" s="174"/>
      <c r="C636" s="174"/>
      <c r="D636" s="174"/>
      <c r="E636" s="174"/>
      <c r="F636" s="174"/>
    </row>
    <row r="637" spans="2:6" ht="12.75" customHeight="1" x14ac:dyDescent="0.2">
      <c r="B637" s="174"/>
      <c r="C637" s="174"/>
      <c r="D637" s="174"/>
      <c r="E637" s="174"/>
      <c r="F637" s="174"/>
    </row>
    <row r="638" spans="2:6" ht="12.75" customHeight="1" x14ac:dyDescent="0.2">
      <c r="B638" s="174"/>
      <c r="C638" s="174"/>
      <c r="D638" s="174"/>
      <c r="E638" s="174"/>
      <c r="F638" s="174"/>
    </row>
    <row r="639" spans="2:6" ht="12.75" customHeight="1" x14ac:dyDescent="0.2">
      <c r="B639" s="174"/>
      <c r="C639" s="174"/>
      <c r="D639" s="174"/>
      <c r="E639" s="174"/>
      <c r="F639" s="174"/>
    </row>
    <row r="640" spans="2:6" ht="12.75" customHeight="1" x14ac:dyDescent="0.2">
      <c r="B640" s="174"/>
      <c r="C640" s="174"/>
      <c r="D640" s="174"/>
      <c r="E640" s="174"/>
      <c r="F640" s="174"/>
    </row>
    <row r="641" spans="2:6" ht="12.75" customHeight="1" x14ac:dyDescent="0.2">
      <c r="B641" s="174"/>
      <c r="C641" s="174"/>
      <c r="D641" s="174"/>
      <c r="E641" s="174"/>
      <c r="F641" s="174"/>
    </row>
    <row r="642" spans="2:6" ht="12.75" customHeight="1" x14ac:dyDescent="0.2">
      <c r="B642" s="174"/>
      <c r="C642" s="174"/>
      <c r="D642" s="174"/>
      <c r="E642" s="174"/>
      <c r="F642" s="174"/>
    </row>
    <row r="643" spans="2:6" ht="12.75" customHeight="1" x14ac:dyDescent="0.2">
      <c r="B643" s="174"/>
      <c r="C643" s="174"/>
      <c r="D643" s="174"/>
      <c r="E643" s="174"/>
      <c r="F643" s="174"/>
    </row>
    <row r="644" spans="2:6" ht="12.75" customHeight="1" x14ac:dyDescent="0.2">
      <c r="B644" s="174"/>
      <c r="C644" s="174"/>
      <c r="D644" s="174"/>
      <c r="E644" s="174"/>
      <c r="F644" s="174"/>
    </row>
    <row r="645" spans="2:6" ht="12.75" customHeight="1" x14ac:dyDescent="0.2">
      <c r="B645" s="174"/>
      <c r="C645" s="174"/>
      <c r="D645" s="174"/>
      <c r="E645" s="174"/>
      <c r="F645" s="174"/>
    </row>
    <row r="646" spans="2:6" ht="12.75" customHeight="1" x14ac:dyDescent="0.2">
      <c r="B646" s="174"/>
      <c r="C646" s="174"/>
      <c r="D646" s="174"/>
      <c r="E646" s="174"/>
      <c r="F646" s="174"/>
    </row>
    <row r="647" spans="2:6" ht="12.75" customHeight="1" x14ac:dyDescent="0.2">
      <c r="B647" s="174"/>
      <c r="C647" s="174"/>
      <c r="D647" s="174"/>
      <c r="E647" s="174"/>
      <c r="F647" s="174"/>
    </row>
    <row r="648" spans="2:6" ht="12.75" customHeight="1" x14ac:dyDescent="0.2">
      <c r="B648" s="174"/>
      <c r="C648" s="174"/>
      <c r="D648" s="174"/>
      <c r="E648" s="174"/>
      <c r="F648" s="174"/>
    </row>
    <row r="649" spans="2:6" ht="12.75" customHeight="1" x14ac:dyDescent="0.2">
      <c r="B649" s="174"/>
      <c r="C649" s="174"/>
      <c r="D649" s="174"/>
      <c r="E649" s="174"/>
      <c r="F649" s="174"/>
    </row>
    <row r="650" spans="2:6" ht="12.75" customHeight="1" x14ac:dyDescent="0.2">
      <c r="B650" s="174"/>
      <c r="C650" s="174"/>
      <c r="D650" s="174"/>
      <c r="E650" s="174"/>
      <c r="F650" s="174"/>
    </row>
    <row r="651" spans="2:6" ht="12.75" customHeight="1" x14ac:dyDescent="0.2">
      <c r="B651" s="174"/>
      <c r="C651" s="174"/>
      <c r="D651" s="174"/>
      <c r="E651" s="174"/>
      <c r="F651" s="174"/>
    </row>
    <row r="652" spans="2:6" ht="12.75" customHeight="1" x14ac:dyDescent="0.2">
      <c r="B652" s="174"/>
      <c r="C652" s="174"/>
      <c r="D652" s="174"/>
      <c r="E652" s="174"/>
      <c r="F652" s="174"/>
    </row>
    <row r="653" spans="2:6" ht="12.75" customHeight="1" x14ac:dyDescent="0.2">
      <c r="B653" s="174"/>
      <c r="C653" s="174"/>
      <c r="D653" s="174"/>
      <c r="E653" s="174"/>
      <c r="F653" s="174"/>
    </row>
    <row r="654" spans="2:6" ht="12.75" customHeight="1" x14ac:dyDescent="0.2">
      <c r="B654" s="174"/>
      <c r="C654" s="174"/>
      <c r="D654" s="174"/>
      <c r="E654" s="174"/>
      <c r="F654" s="174"/>
    </row>
    <row r="655" spans="2:6" ht="12.75" customHeight="1" x14ac:dyDescent="0.2">
      <c r="B655" s="174"/>
      <c r="C655" s="174"/>
      <c r="D655" s="174"/>
      <c r="E655" s="174"/>
      <c r="F655" s="174"/>
    </row>
    <row r="656" spans="2:6" ht="12.75" customHeight="1" x14ac:dyDescent="0.2">
      <c r="B656" s="174"/>
      <c r="C656" s="174"/>
      <c r="D656" s="174"/>
      <c r="E656" s="174"/>
      <c r="F656" s="174"/>
    </row>
    <row r="657" spans="2:6" ht="12.75" customHeight="1" x14ac:dyDescent="0.2">
      <c r="B657" s="174"/>
      <c r="C657" s="174"/>
      <c r="D657" s="174"/>
      <c r="E657" s="174"/>
      <c r="F657" s="174"/>
    </row>
    <row r="658" spans="2:6" ht="12.75" customHeight="1" x14ac:dyDescent="0.2">
      <c r="B658" s="174"/>
      <c r="C658" s="174"/>
      <c r="D658" s="174"/>
      <c r="E658" s="174"/>
      <c r="F658" s="174"/>
    </row>
    <row r="659" spans="2:6" ht="12.75" customHeight="1" x14ac:dyDescent="0.2">
      <c r="B659" s="174"/>
      <c r="C659" s="174"/>
      <c r="D659" s="174"/>
      <c r="E659" s="174"/>
      <c r="F659" s="174"/>
    </row>
    <row r="660" spans="2:6" ht="12.75" customHeight="1" x14ac:dyDescent="0.2">
      <c r="B660" s="174"/>
      <c r="C660" s="174"/>
      <c r="D660" s="174"/>
      <c r="E660" s="174"/>
      <c r="F660" s="174"/>
    </row>
    <row r="661" spans="2:6" ht="12.75" customHeight="1" x14ac:dyDescent="0.2">
      <c r="B661" s="174"/>
      <c r="C661" s="174"/>
      <c r="D661" s="174"/>
      <c r="E661" s="174"/>
      <c r="F661" s="174"/>
    </row>
    <row r="662" spans="2:6" ht="12.75" customHeight="1" x14ac:dyDescent="0.2">
      <c r="B662" s="174"/>
      <c r="C662" s="174"/>
      <c r="D662" s="174"/>
      <c r="E662" s="174"/>
      <c r="F662" s="174"/>
    </row>
    <row r="663" spans="2:6" ht="12.75" customHeight="1" x14ac:dyDescent="0.2">
      <c r="B663" s="174"/>
      <c r="C663" s="174"/>
      <c r="D663" s="174"/>
      <c r="E663" s="174"/>
      <c r="F663" s="174"/>
    </row>
    <row r="664" spans="2:6" ht="12.75" customHeight="1" x14ac:dyDescent="0.2">
      <c r="B664" s="174"/>
      <c r="C664" s="174"/>
      <c r="D664" s="174"/>
      <c r="E664" s="174"/>
      <c r="F664" s="174"/>
    </row>
    <row r="665" spans="2:6" ht="12.75" customHeight="1" x14ac:dyDescent="0.2">
      <c r="B665" s="174"/>
      <c r="C665" s="174"/>
      <c r="D665" s="174"/>
      <c r="E665" s="174"/>
      <c r="F665" s="174"/>
    </row>
    <row r="666" spans="2:6" ht="12.75" customHeight="1" x14ac:dyDescent="0.2">
      <c r="B666" s="174"/>
      <c r="C666" s="174"/>
      <c r="D666" s="174"/>
      <c r="E666" s="174"/>
      <c r="F666" s="174"/>
    </row>
    <row r="667" spans="2:6" ht="12.75" customHeight="1" x14ac:dyDescent="0.2">
      <c r="B667" s="174"/>
      <c r="C667" s="174"/>
      <c r="D667" s="174"/>
      <c r="E667" s="174"/>
      <c r="F667" s="174"/>
    </row>
    <row r="668" spans="2:6" ht="12.75" customHeight="1" x14ac:dyDescent="0.2">
      <c r="B668" s="174"/>
      <c r="C668" s="174"/>
      <c r="D668" s="174"/>
      <c r="E668" s="174"/>
      <c r="F668" s="174"/>
    </row>
    <row r="669" spans="2:6" ht="12.75" customHeight="1" x14ac:dyDescent="0.2">
      <c r="B669" s="174"/>
      <c r="C669" s="174"/>
      <c r="D669" s="174"/>
      <c r="E669" s="174"/>
      <c r="F669" s="174"/>
    </row>
    <row r="670" spans="2:6" ht="12.75" customHeight="1" x14ac:dyDescent="0.2">
      <c r="B670" s="174"/>
      <c r="C670" s="174"/>
      <c r="D670" s="174"/>
      <c r="E670" s="174"/>
      <c r="F670" s="174"/>
    </row>
    <row r="671" spans="2:6" ht="12.75" customHeight="1" x14ac:dyDescent="0.2">
      <c r="B671" s="174"/>
      <c r="C671" s="174"/>
      <c r="D671" s="174"/>
      <c r="E671" s="174"/>
      <c r="F671" s="174"/>
    </row>
    <row r="672" spans="2:6" ht="12.75" customHeight="1" x14ac:dyDescent="0.2">
      <c r="B672" s="174"/>
      <c r="C672" s="174"/>
      <c r="D672" s="174"/>
      <c r="E672" s="174"/>
      <c r="F672" s="174"/>
    </row>
    <row r="673" spans="2:6" ht="12.75" customHeight="1" x14ac:dyDescent="0.2">
      <c r="B673" s="174"/>
      <c r="C673" s="174"/>
      <c r="D673" s="174"/>
      <c r="E673" s="174"/>
      <c r="F673" s="174"/>
    </row>
    <row r="674" spans="2:6" ht="12.75" customHeight="1" x14ac:dyDescent="0.2">
      <c r="B674" s="174"/>
      <c r="C674" s="174"/>
      <c r="D674" s="174"/>
      <c r="E674" s="174"/>
      <c r="F674" s="174"/>
    </row>
    <row r="675" spans="2:6" ht="12.75" customHeight="1" x14ac:dyDescent="0.2">
      <c r="B675" s="174"/>
      <c r="C675" s="174"/>
      <c r="D675" s="174"/>
      <c r="E675" s="174"/>
      <c r="F675" s="174"/>
    </row>
    <row r="676" spans="2:6" ht="12.75" customHeight="1" x14ac:dyDescent="0.2">
      <c r="B676" s="174"/>
      <c r="C676" s="174"/>
      <c r="D676" s="174"/>
      <c r="E676" s="174"/>
      <c r="F676" s="174"/>
    </row>
    <row r="677" spans="2:6" ht="12.75" customHeight="1" x14ac:dyDescent="0.2">
      <c r="B677" s="174"/>
      <c r="C677" s="174"/>
      <c r="D677" s="174"/>
      <c r="E677" s="174"/>
      <c r="F677" s="174"/>
    </row>
    <row r="678" spans="2:6" ht="12.75" customHeight="1" x14ac:dyDescent="0.2">
      <c r="B678" s="174"/>
      <c r="C678" s="174"/>
      <c r="D678" s="174"/>
      <c r="E678" s="174"/>
      <c r="F678" s="174"/>
    </row>
    <row r="679" spans="2:6" ht="12.75" customHeight="1" x14ac:dyDescent="0.2">
      <c r="B679" s="174"/>
      <c r="C679" s="174"/>
      <c r="D679" s="174"/>
      <c r="E679" s="174"/>
      <c r="F679" s="174"/>
    </row>
    <row r="680" spans="2:6" ht="12.75" customHeight="1" x14ac:dyDescent="0.2">
      <c r="B680" s="174"/>
      <c r="C680" s="174"/>
      <c r="D680" s="174"/>
      <c r="E680" s="174"/>
      <c r="F680" s="174"/>
    </row>
    <row r="681" spans="2:6" ht="12.75" customHeight="1" x14ac:dyDescent="0.2">
      <c r="B681" s="174"/>
      <c r="C681" s="174"/>
      <c r="D681" s="174"/>
      <c r="E681" s="174"/>
      <c r="F681" s="174"/>
    </row>
    <row r="682" spans="2:6" ht="12.75" customHeight="1" x14ac:dyDescent="0.2">
      <c r="B682" s="174"/>
      <c r="C682" s="174"/>
      <c r="D682" s="174"/>
      <c r="E682" s="174"/>
      <c r="F682" s="174"/>
    </row>
    <row r="683" spans="2:6" ht="12.75" customHeight="1" x14ac:dyDescent="0.2">
      <c r="B683" s="174"/>
      <c r="C683" s="174"/>
      <c r="D683" s="174"/>
      <c r="E683" s="174"/>
      <c r="F683" s="174"/>
    </row>
    <row r="684" spans="2:6" ht="12.75" customHeight="1" x14ac:dyDescent="0.2">
      <c r="B684" s="174"/>
      <c r="C684" s="174"/>
      <c r="D684" s="174"/>
      <c r="E684" s="174"/>
      <c r="F684" s="174"/>
    </row>
    <row r="685" spans="2:6" ht="12.75" customHeight="1" x14ac:dyDescent="0.2">
      <c r="B685" s="174"/>
      <c r="C685" s="174"/>
      <c r="D685" s="174"/>
      <c r="E685" s="174"/>
      <c r="F685" s="174"/>
    </row>
    <row r="686" spans="2:6" ht="12.75" customHeight="1" x14ac:dyDescent="0.2">
      <c r="B686" s="174"/>
      <c r="C686" s="174"/>
      <c r="D686" s="174"/>
      <c r="E686" s="174"/>
      <c r="F686" s="174"/>
    </row>
    <row r="687" spans="2:6" ht="12.75" customHeight="1" x14ac:dyDescent="0.2">
      <c r="B687" s="174"/>
      <c r="C687" s="174"/>
      <c r="D687" s="174"/>
      <c r="E687" s="174"/>
      <c r="F687" s="174"/>
    </row>
    <row r="688" spans="2:6" ht="12.75" customHeight="1" x14ac:dyDescent="0.2">
      <c r="B688" s="174"/>
      <c r="C688" s="174"/>
      <c r="D688" s="174"/>
      <c r="E688" s="174"/>
      <c r="F688" s="174"/>
    </row>
    <row r="689" spans="2:6" ht="12.75" customHeight="1" x14ac:dyDescent="0.2">
      <c r="B689" s="174"/>
      <c r="C689" s="174"/>
      <c r="D689" s="174"/>
      <c r="E689" s="174"/>
      <c r="F689" s="174"/>
    </row>
    <row r="690" spans="2:6" ht="12.75" customHeight="1" x14ac:dyDescent="0.2">
      <c r="B690" s="174"/>
      <c r="C690" s="174"/>
      <c r="D690" s="174"/>
      <c r="E690" s="174"/>
      <c r="F690" s="174"/>
    </row>
    <row r="691" spans="2:6" ht="12.75" customHeight="1" x14ac:dyDescent="0.2">
      <c r="B691" s="174"/>
      <c r="C691" s="174"/>
      <c r="D691" s="174"/>
      <c r="E691" s="174"/>
      <c r="F691" s="174"/>
    </row>
    <row r="692" spans="2:6" ht="12.75" customHeight="1" x14ac:dyDescent="0.2">
      <c r="B692" s="174"/>
      <c r="C692" s="174"/>
      <c r="D692" s="174"/>
      <c r="E692" s="174"/>
      <c r="F692" s="174"/>
    </row>
    <row r="693" spans="2:6" ht="12.75" customHeight="1" x14ac:dyDescent="0.2">
      <c r="B693" s="174"/>
      <c r="C693" s="174"/>
      <c r="D693" s="174"/>
      <c r="E693" s="174"/>
      <c r="F693" s="174"/>
    </row>
    <row r="694" spans="2:6" ht="12.75" customHeight="1" x14ac:dyDescent="0.2">
      <c r="B694" s="174"/>
      <c r="C694" s="174"/>
      <c r="D694" s="174"/>
      <c r="E694" s="174"/>
      <c r="F694" s="174"/>
    </row>
    <row r="695" spans="2:6" ht="12.75" customHeight="1" x14ac:dyDescent="0.2">
      <c r="B695" s="174"/>
      <c r="C695" s="174"/>
      <c r="D695" s="174"/>
      <c r="E695" s="174"/>
      <c r="F695" s="174"/>
    </row>
    <row r="696" spans="2:6" ht="12.75" customHeight="1" x14ac:dyDescent="0.2">
      <c r="B696" s="174"/>
      <c r="C696" s="174"/>
      <c r="D696" s="174"/>
      <c r="E696" s="174"/>
      <c r="F696" s="174"/>
    </row>
    <row r="697" spans="2:6" ht="12.75" customHeight="1" x14ac:dyDescent="0.2">
      <c r="B697" s="174"/>
      <c r="C697" s="174"/>
      <c r="D697" s="174"/>
      <c r="E697" s="174"/>
      <c r="F697" s="174"/>
    </row>
    <row r="698" spans="2:6" ht="12.75" customHeight="1" x14ac:dyDescent="0.2">
      <c r="B698" s="174"/>
      <c r="C698" s="174"/>
      <c r="D698" s="174"/>
      <c r="E698" s="174"/>
      <c r="F698" s="174"/>
    </row>
    <row r="699" spans="2:6" ht="12.75" customHeight="1" x14ac:dyDescent="0.2">
      <c r="B699" s="174"/>
      <c r="C699" s="174"/>
      <c r="D699" s="174"/>
      <c r="E699" s="174"/>
      <c r="F699" s="174"/>
    </row>
    <row r="700" spans="2:6" ht="12.75" customHeight="1" x14ac:dyDescent="0.2">
      <c r="B700" s="174"/>
      <c r="C700" s="174"/>
      <c r="D700" s="174"/>
      <c r="E700" s="174"/>
      <c r="F700" s="174"/>
    </row>
    <row r="701" spans="2:6" ht="12.75" customHeight="1" x14ac:dyDescent="0.2">
      <c r="B701" s="174"/>
      <c r="C701" s="174"/>
      <c r="D701" s="174"/>
      <c r="E701" s="174"/>
      <c r="F701" s="174"/>
    </row>
    <row r="702" spans="2:6" ht="12.75" customHeight="1" x14ac:dyDescent="0.2">
      <c r="B702" s="174"/>
      <c r="C702" s="174"/>
      <c r="D702" s="174"/>
      <c r="E702" s="174"/>
      <c r="F702" s="174"/>
    </row>
    <row r="703" spans="2:6" ht="12.75" customHeight="1" x14ac:dyDescent="0.2">
      <c r="B703" s="174"/>
      <c r="C703" s="174"/>
      <c r="D703" s="174"/>
      <c r="E703" s="174"/>
      <c r="F703" s="174"/>
    </row>
    <row r="704" spans="2:6" ht="12.75" customHeight="1" x14ac:dyDescent="0.2">
      <c r="B704" s="174"/>
      <c r="C704" s="174"/>
      <c r="D704" s="174"/>
      <c r="E704" s="174"/>
      <c r="F704" s="174"/>
    </row>
    <row r="705" spans="2:6" ht="12.75" customHeight="1" x14ac:dyDescent="0.2">
      <c r="B705" s="174"/>
      <c r="C705" s="174"/>
      <c r="D705" s="174"/>
      <c r="E705" s="174"/>
      <c r="F705" s="174"/>
    </row>
    <row r="706" spans="2:6" ht="12.75" customHeight="1" x14ac:dyDescent="0.2">
      <c r="B706" s="174"/>
      <c r="C706" s="174"/>
      <c r="D706" s="174"/>
      <c r="E706" s="174"/>
      <c r="F706" s="174"/>
    </row>
    <row r="707" spans="2:6" ht="12.75" customHeight="1" x14ac:dyDescent="0.2">
      <c r="B707" s="174"/>
      <c r="C707" s="174"/>
      <c r="D707" s="174"/>
      <c r="E707" s="174"/>
      <c r="F707" s="174"/>
    </row>
    <row r="708" spans="2:6" ht="12.75" customHeight="1" x14ac:dyDescent="0.2">
      <c r="B708" s="174"/>
      <c r="C708" s="174"/>
      <c r="D708" s="174"/>
      <c r="E708" s="174"/>
      <c r="F708" s="174"/>
    </row>
    <row r="709" spans="2:6" ht="12.75" customHeight="1" x14ac:dyDescent="0.2">
      <c r="B709" s="174"/>
      <c r="C709" s="174"/>
      <c r="D709" s="174"/>
      <c r="E709" s="174"/>
      <c r="F709" s="174"/>
    </row>
    <row r="710" spans="2:6" ht="12.75" customHeight="1" x14ac:dyDescent="0.2">
      <c r="B710" s="174"/>
      <c r="C710" s="174"/>
      <c r="D710" s="174"/>
      <c r="E710" s="174"/>
      <c r="F710" s="174"/>
    </row>
    <row r="711" spans="2:6" ht="12.75" customHeight="1" x14ac:dyDescent="0.2">
      <c r="B711" s="174"/>
      <c r="C711" s="174"/>
      <c r="D711" s="174"/>
      <c r="E711" s="174"/>
      <c r="F711" s="174"/>
    </row>
    <row r="712" spans="2:6" ht="12.75" customHeight="1" x14ac:dyDescent="0.2">
      <c r="B712" s="174"/>
      <c r="C712" s="174"/>
      <c r="D712" s="174"/>
      <c r="E712" s="174"/>
      <c r="F712" s="174"/>
    </row>
    <row r="713" spans="2:6" ht="12.75" customHeight="1" x14ac:dyDescent="0.2">
      <c r="B713" s="174"/>
      <c r="C713" s="174"/>
      <c r="D713" s="174"/>
      <c r="E713" s="174"/>
      <c r="F713" s="174"/>
    </row>
    <row r="714" spans="2:6" ht="12.75" customHeight="1" x14ac:dyDescent="0.2">
      <c r="B714" s="174"/>
      <c r="C714" s="174"/>
      <c r="D714" s="174"/>
      <c r="E714" s="174"/>
      <c r="F714" s="174"/>
    </row>
    <row r="715" spans="2:6" ht="12.75" customHeight="1" x14ac:dyDescent="0.2">
      <c r="B715" s="174"/>
      <c r="C715" s="174"/>
      <c r="D715" s="174"/>
      <c r="E715" s="174"/>
      <c r="F715" s="174"/>
    </row>
    <row r="716" spans="2:6" ht="12.75" customHeight="1" x14ac:dyDescent="0.2">
      <c r="B716" s="174"/>
      <c r="C716" s="174"/>
      <c r="D716" s="174"/>
      <c r="E716" s="174"/>
      <c r="F716" s="174"/>
    </row>
    <row r="717" spans="2:6" ht="12.75" customHeight="1" x14ac:dyDescent="0.2">
      <c r="B717" s="174"/>
      <c r="C717" s="174"/>
      <c r="D717" s="174"/>
      <c r="E717" s="174"/>
      <c r="F717" s="174"/>
    </row>
    <row r="718" spans="2:6" ht="12.75" customHeight="1" x14ac:dyDescent="0.2">
      <c r="B718" s="174"/>
      <c r="C718" s="174"/>
      <c r="D718" s="174"/>
      <c r="E718" s="174"/>
      <c r="F718" s="174"/>
    </row>
    <row r="719" spans="2:6" ht="12.75" customHeight="1" x14ac:dyDescent="0.2">
      <c r="B719" s="174"/>
      <c r="C719" s="174"/>
      <c r="D719" s="174"/>
      <c r="E719" s="174"/>
      <c r="F719" s="174"/>
    </row>
    <row r="720" spans="2:6" ht="12.75" customHeight="1" x14ac:dyDescent="0.2">
      <c r="B720" s="174"/>
      <c r="C720" s="174"/>
      <c r="D720" s="174"/>
      <c r="E720" s="174"/>
      <c r="F720" s="174"/>
    </row>
    <row r="721" spans="2:6" ht="12.75" customHeight="1" x14ac:dyDescent="0.2">
      <c r="B721" s="174"/>
      <c r="C721" s="174"/>
      <c r="D721" s="174"/>
      <c r="E721" s="174"/>
      <c r="F721" s="174"/>
    </row>
    <row r="722" spans="2:6" ht="12.75" customHeight="1" x14ac:dyDescent="0.2">
      <c r="B722" s="174"/>
      <c r="C722" s="174"/>
      <c r="D722" s="174"/>
      <c r="E722" s="174"/>
      <c r="F722" s="174"/>
    </row>
    <row r="723" spans="2:6" ht="12.75" customHeight="1" x14ac:dyDescent="0.2">
      <c r="B723" s="174"/>
      <c r="C723" s="174"/>
      <c r="D723" s="174"/>
      <c r="E723" s="174"/>
      <c r="F723" s="174"/>
    </row>
    <row r="724" spans="2:6" ht="12.75" customHeight="1" x14ac:dyDescent="0.2">
      <c r="B724" s="174"/>
      <c r="C724" s="174"/>
      <c r="D724" s="174"/>
      <c r="E724" s="174"/>
      <c r="F724" s="174"/>
    </row>
    <row r="725" spans="2:6" ht="12.75" customHeight="1" x14ac:dyDescent="0.2">
      <c r="B725" s="174"/>
      <c r="C725" s="174"/>
      <c r="D725" s="174"/>
      <c r="E725" s="174"/>
      <c r="F725" s="174"/>
    </row>
    <row r="726" spans="2:6" ht="12.75" customHeight="1" x14ac:dyDescent="0.2">
      <c r="B726" s="174"/>
      <c r="C726" s="174"/>
      <c r="D726" s="174"/>
      <c r="E726" s="174"/>
      <c r="F726" s="174"/>
    </row>
    <row r="727" spans="2:6" ht="12.75" customHeight="1" x14ac:dyDescent="0.2">
      <c r="B727" s="174"/>
      <c r="C727" s="174"/>
      <c r="D727" s="174"/>
      <c r="E727" s="174"/>
      <c r="F727" s="174"/>
    </row>
    <row r="728" spans="2:6" ht="12.75" customHeight="1" x14ac:dyDescent="0.2">
      <c r="B728" s="174"/>
      <c r="C728" s="174"/>
      <c r="D728" s="174"/>
      <c r="E728" s="174"/>
      <c r="F728" s="174"/>
    </row>
    <row r="729" spans="2:6" ht="12.75" customHeight="1" x14ac:dyDescent="0.2">
      <c r="B729" s="174"/>
      <c r="C729" s="174"/>
      <c r="D729" s="174"/>
      <c r="E729" s="174"/>
      <c r="F729" s="174"/>
    </row>
    <row r="730" spans="2:6" ht="12.75" customHeight="1" x14ac:dyDescent="0.2">
      <c r="B730" s="174"/>
      <c r="C730" s="174"/>
      <c r="D730" s="174"/>
      <c r="E730" s="174"/>
      <c r="F730" s="174"/>
    </row>
    <row r="731" spans="2:6" ht="12.75" customHeight="1" x14ac:dyDescent="0.2">
      <c r="B731" s="174"/>
      <c r="C731" s="174"/>
      <c r="D731" s="174"/>
      <c r="E731" s="174"/>
      <c r="F731" s="174"/>
    </row>
    <row r="732" spans="2:6" ht="12.75" customHeight="1" x14ac:dyDescent="0.2">
      <c r="B732" s="174"/>
      <c r="C732" s="174"/>
      <c r="D732" s="174"/>
      <c r="E732" s="174"/>
      <c r="F732" s="174"/>
    </row>
    <row r="733" spans="2:6" ht="12.75" customHeight="1" x14ac:dyDescent="0.2">
      <c r="B733" s="174"/>
      <c r="C733" s="174"/>
      <c r="D733" s="174"/>
      <c r="E733" s="174"/>
      <c r="F733" s="174"/>
    </row>
    <row r="734" spans="2:6" ht="12.75" customHeight="1" x14ac:dyDescent="0.2">
      <c r="B734" s="174"/>
      <c r="C734" s="174"/>
      <c r="D734" s="174"/>
      <c r="E734" s="174"/>
      <c r="F734" s="174"/>
    </row>
    <row r="735" spans="2:6" ht="12.75" customHeight="1" x14ac:dyDescent="0.2">
      <c r="B735" s="174"/>
      <c r="C735" s="174"/>
      <c r="D735" s="174"/>
      <c r="E735" s="174"/>
      <c r="F735" s="174"/>
    </row>
    <row r="736" spans="2:6" ht="12.75" customHeight="1" x14ac:dyDescent="0.2">
      <c r="B736" s="174"/>
      <c r="C736" s="174"/>
      <c r="D736" s="174"/>
      <c r="E736" s="174"/>
      <c r="F736" s="174"/>
    </row>
    <row r="737" spans="2:6" ht="12.75" customHeight="1" x14ac:dyDescent="0.2">
      <c r="B737" s="174"/>
      <c r="C737" s="174"/>
      <c r="D737" s="174"/>
      <c r="E737" s="174"/>
      <c r="F737" s="174"/>
    </row>
    <row r="738" spans="2:6" ht="12.75" customHeight="1" x14ac:dyDescent="0.2">
      <c r="B738" s="174"/>
      <c r="C738" s="174"/>
      <c r="D738" s="174"/>
      <c r="E738" s="174"/>
      <c r="F738" s="174"/>
    </row>
    <row r="739" spans="2:6" ht="12.75" customHeight="1" x14ac:dyDescent="0.2">
      <c r="B739" s="174"/>
      <c r="C739" s="174"/>
      <c r="D739" s="174"/>
      <c r="E739" s="174"/>
      <c r="F739" s="174"/>
    </row>
    <row r="740" spans="2:6" ht="12.75" customHeight="1" x14ac:dyDescent="0.2">
      <c r="B740" s="174"/>
      <c r="C740" s="174"/>
      <c r="D740" s="174"/>
      <c r="E740" s="174"/>
      <c r="F740" s="174"/>
    </row>
    <row r="741" spans="2:6" ht="12.75" customHeight="1" x14ac:dyDescent="0.2">
      <c r="B741" s="174"/>
      <c r="C741" s="174"/>
      <c r="D741" s="174"/>
      <c r="E741" s="174"/>
      <c r="F741" s="174"/>
    </row>
    <row r="742" spans="2:6" ht="12.75" customHeight="1" x14ac:dyDescent="0.2">
      <c r="B742" s="174"/>
      <c r="C742" s="174"/>
      <c r="D742" s="174"/>
      <c r="E742" s="174"/>
      <c r="F742" s="174"/>
    </row>
    <row r="743" spans="2:6" ht="12.75" customHeight="1" x14ac:dyDescent="0.2">
      <c r="B743" s="174"/>
      <c r="C743" s="174"/>
      <c r="D743" s="174"/>
      <c r="E743" s="174"/>
      <c r="F743" s="174"/>
    </row>
    <row r="744" spans="2:6" ht="12.75" customHeight="1" x14ac:dyDescent="0.2">
      <c r="B744" s="174"/>
      <c r="C744" s="174"/>
      <c r="D744" s="174"/>
      <c r="E744" s="174"/>
      <c r="F744" s="174"/>
    </row>
    <row r="745" spans="2:6" ht="12.75" customHeight="1" x14ac:dyDescent="0.2">
      <c r="B745" s="174"/>
      <c r="C745" s="174"/>
      <c r="D745" s="174"/>
      <c r="E745" s="174"/>
      <c r="F745" s="174"/>
    </row>
    <row r="746" spans="2:6" ht="12.75" customHeight="1" x14ac:dyDescent="0.2">
      <c r="B746" s="174"/>
      <c r="C746" s="174"/>
      <c r="D746" s="174"/>
      <c r="E746" s="174"/>
      <c r="F746" s="174"/>
    </row>
    <row r="747" spans="2:6" ht="12.75" customHeight="1" x14ac:dyDescent="0.2">
      <c r="B747" s="174"/>
      <c r="C747" s="174"/>
      <c r="D747" s="174"/>
      <c r="E747" s="174"/>
      <c r="F747" s="174"/>
    </row>
    <row r="748" spans="2:6" ht="12.75" customHeight="1" x14ac:dyDescent="0.2">
      <c r="B748" s="174"/>
      <c r="C748" s="174"/>
      <c r="D748" s="174"/>
      <c r="E748" s="174"/>
      <c r="F748" s="174"/>
    </row>
    <row r="749" spans="2:6" ht="12.75" customHeight="1" x14ac:dyDescent="0.2">
      <c r="B749" s="174"/>
      <c r="C749" s="174"/>
      <c r="D749" s="174"/>
      <c r="E749" s="174"/>
      <c r="F749" s="174"/>
    </row>
    <row r="750" spans="2:6" ht="12.75" customHeight="1" x14ac:dyDescent="0.2">
      <c r="B750" s="174"/>
      <c r="C750" s="174"/>
      <c r="D750" s="174"/>
      <c r="E750" s="174"/>
      <c r="F750" s="174"/>
    </row>
    <row r="751" spans="2:6" ht="12.75" customHeight="1" x14ac:dyDescent="0.2">
      <c r="B751" s="174"/>
      <c r="C751" s="174"/>
      <c r="D751" s="174"/>
      <c r="E751" s="174"/>
      <c r="F751" s="174"/>
    </row>
    <row r="752" spans="2:6" ht="12.75" customHeight="1" x14ac:dyDescent="0.2">
      <c r="B752" s="174"/>
      <c r="C752" s="174"/>
      <c r="D752" s="174"/>
      <c r="E752" s="174"/>
      <c r="F752" s="174"/>
    </row>
    <row r="753" spans="2:6" ht="12.75" customHeight="1" x14ac:dyDescent="0.2">
      <c r="B753" s="174"/>
      <c r="C753" s="174"/>
      <c r="D753" s="174"/>
      <c r="E753" s="174"/>
      <c r="F753" s="174"/>
    </row>
    <row r="754" spans="2:6" ht="12.75" customHeight="1" x14ac:dyDescent="0.2">
      <c r="B754" s="174"/>
      <c r="C754" s="174"/>
      <c r="D754" s="174"/>
      <c r="E754" s="174"/>
      <c r="F754" s="174"/>
    </row>
    <row r="755" spans="2:6" ht="12.75" customHeight="1" x14ac:dyDescent="0.2">
      <c r="B755" s="174"/>
      <c r="C755" s="174"/>
      <c r="D755" s="174"/>
      <c r="E755" s="174"/>
      <c r="F755" s="174"/>
    </row>
    <row r="756" spans="2:6" ht="12.75" customHeight="1" x14ac:dyDescent="0.2">
      <c r="B756" s="174"/>
      <c r="C756" s="174"/>
      <c r="D756" s="174"/>
      <c r="E756" s="174"/>
      <c r="F756" s="174"/>
    </row>
    <row r="757" spans="2:6" ht="12.75" customHeight="1" x14ac:dyDescent="0.2">
      <c r="B757" s="174"/>
      <c r="C757" s="174"/>
      <c r="D757" s="174"/>
      <c r="E757" s="174"/>
      <c r="F757" s="174"/>
    </row>
    <row r="758" spans="2:6" ht="12.75" customHeight="1" x14ac:dyDescent="0.2">
      <c r="B758" s="174"/>
      <c r="C758" s="174"/>
      <c r="D758" s="174"/>
      <c r="E758" s="174"/>
      <c r="F758" s="174"/>
    </row>
    <row r="759" spans="2:6" ht="12.75" customHeight="1" x14ac:dyDescent="0.2">
      <c r="B759" s="174"/>
      <c r="C759" s="174"/>
      <c r="D759" s="174"/>
      <c r="E759" s="174"/>
      <c r="F759" s="174"/>
    </row>
    <row r="760" spans="2:6" ht="12.75" customHeight="1" x14ac:dyDescent="0.2">
      <c r="B760" s="174"/>
      <c r="C760" s="174"/>
      <c r="D760" s="174"/>
      <c r="E760" s="174"/>
      <c r="F760" s="174"/>
    </row>
    <row r="761" spans="2:6" ht="12.75" customHeight="1" x14ac:dyDescent="0.2">
      <c r="B761" s="174"/>
      <c r="C761" s="174"/>
      <c r="D761" s="174"/>
      <c r="E761" s="174"/>
      <c r="F761" s="174"/>
    </row>
    <row r="762" spans="2:6" ht="12.75" customHeight="1" x14ac:dyDescent="0.2">
      <c r="B762" s="174"/>
      <c r="C762" s="174"/>
      <c r="D762" s="174"/>
      <c r="E762" s="174"/>
      <c r="F762" s="174"/>
    </row>
    <row r="763" spans="2:6" ht="12.75" customHeight="1" x14ac:dyDescent="0.2">
      <c r="B763" s="174"/>
      <c r="C763" s="174"/>
      <c r="D763" s="174"/>
      <c r="E763" s="174"/>
      <c r="F763" s="174"/>
    </row>
    <row r="764" spans="2:6" ht="12.75" customHeight="1" x14ac:dyDescent="0.2">
      <c r="B764" s="174"/>
      <c r="C764" s="174"/>
      <c r="D764" s="174"/>
      <c r="E764" s="174"/>
      <c r="F764" s="174"/>
    </row>
    <row r="765" spans="2:6" ht="12.75" customHeight="1" x14ac:dyDescent="0.2">
      <c r="B765" s="174"/>
      <c r="C765" s="174"/>
      <c r="D765" s="174"/>
      <c r="E765" s="174"/>
      <c r="F765" s="174"/>
    </row>
    <row r="766" spans="2:6" ht="12.75" customHeight="1" x14ac:dyDescent="0.2">
      <c r="B766" s="174"/>
      <c r="C766" s="174"/>
      <c r="D766" s="174"/>
      <c r="E766" s="174"/>
      <c r="F766" s="174"/>
    </row>
    <row r="767" spans="2:6" ht="12.75" customHeight="1" x14ac:dyDescent="0.2">
      <c r="B767" s="174"/>
      <c r="C767" s="174"/>
      <c r="D767" s="174"/>
      <c r="E767" s="174"/>
      <c r="F767" s="174"/>
    </row>
    <row r="768" spans="2:6" ht="12.75" customHeight="1" x14ac:dyDescent="0.2">
      <c r="B768" s="174"/>
      <c r="C768" s="174"/>
      <c r="D768" s="174"/>
      <c r="E768" s="174"/>
      <c r="F768" s="174"/>
    </row>
    <row r="769" spans="2:6" ht="12.75" customHeight="1" x14ac:dyDescent="0.2">
      <c r="B769" s="174"/>
      <c r="C769" s="174"/>
      <c r="D769" s="174"/>
      <c r="E769" s="174"/>
      <c r="F769" s="174"/>
    </row>
    <row r="770" spans="2:6" ht="12.75" customHeight="1" x14ac:dyDescent="0.2">
      <c r="B770" s="174"/>
      <c r="C770" s="174"/>
      <c r="D770" s="174"/>
      <c r="E770" s="174"/>
      <c r="F770" s="174"/>
    </row>
    <row r="771" spans="2:6" ht="12.75" customHeight="1" x14ac:dyDescent="0.2">
      <c r="B771" s="174"/>
      <c r="C771" s="174"/>
      <c r="D771" s="174"/>
      <c r="E771" s="174"/>
      <c r="F771" s="174"/>
    </row>
    <row r="772" spans="2:6" ht="12.75" customHeight="1" x14ac:dyDescent="0.2">
      <c r="B772" s="174"/>
      <c r="C772" s="174"/>
      <c r="D772" s="174"/>
      <c r="E772" s="174"/>
      <c r="F772" s="174"/>
    </row>
    <row r="773" spans="2:6" ht="12.75" customHeight="1" x14ac:dyDescent="0.2">
      <c r="B773" s="174"/>
      <c r="C773" s="174"/>
      <c r="D773" s="174"/>
      <c r="E773" s="174"/>
      <c r="F773" s="174"/>
    </row>
    <row r="774" spans="2:6" ht="12.75" customHeight="1" x14ac:dyDescent="0.2">
      <c r="B774" s="174"/>
      <c r="C774" s="174"/>
      <c r="D774" s="174"/>
      <c r="E774" s="174"/>
      <c r="F774" s="174"/>
    </row>
    <row r="775" spans="2:6" ht="12.75" customHeight="1" x14ac:dyDescent="0.2">
      <c r="B775" s="174"/>
      <c r="C775" s="174"/>
      <c r="D775" s="174"/>
      <c r="E775" s="174"/>
      <c r="F775" s="174"/>
    </row>
    <row r="776" spans="2:6" ht="12.75" customHeight="1" x14ac:dyDescent="0.2">
      <c r="B776" s="174"/>
      <c r="C776" s="174"/>
      <c r="D776" s="174"/>
      <c r="E776" s="174"/>
      <c r="F776" s="174"/>
    </row>
    <row r="777" spans="2:6" ht="12.75" customHeight="1" x14ac:dyDescent="0.2">
      <c r="B777" s="174"/>
      <c r="C777" s="174"/>
      <c r="D777" s="174"/>
      <c r="E777" s="174"/>
      <c r="F777" s="174"/>
    </row>
    <row r="778" spans="2:6" ht="12.75" customHeight="1" x14ac:dyDescent="0.2">
      <c r="B778" s="174"/>
      <c r="C778" s="174"/>
      <c r="D778" s="174"/>
      <c r="E778" s="174"/>
      <c r="F778" s="174"/>
    </row>
    <row r="779" spans="2:6" ht="12.75" customHeight="1" x14ac:dyDescent="0.2">
      <c r="B779" s="174"/>
      <c r="C779" s="174"/>
      <c r="D779" s="174"/>
      <c r="E779" s="174"/>
      <c r="F779" s="174"/>
    </row>
    <row r="780" spans="2:6" ht="12.75" customHeight="1" x14ac:dyDescent="0.2">
      <c r="B780" s="174"/>
      <c r="C780" s="174"/>
      <c r="D780" s="174"/>
      <c r="E780" s="174"/>
      <c r="F780" s="174"/>
    </row>
    <row r="781" spans="2:6" ht="12.75" customHeight="1" x14ac:dyDescent="0.2">
      <c r="B781" s="174"/>
      <c r="C781" s="174"/>
      <c r="D781" s="174"/>
      <c r="E781" s="174"/>
      <c r="F781" s="174"/>
    </row>
    <row r="782" spans="2:6" ht="12.75" customHeight="1" x14ac:dyDescent="0.2">
      <c r="B782" s="174"/>
      <c r="C782" s="174"/>
      <c r="D782" s="174"/>
      <c r="E782" s="174"/>
      <c r="F782" s="174"/>
    </row>
    <row r="783" spans="2:6" ht="12.75" customHeight="1" x14ac:dyDescent="0.2">
      <c r="B783" s="174"/>
      <c r="C783" s="174"/>
      <c r="D783" s="174"/>
      <c r="E783" s="174"/>
      <c r="F783" s="174"/>
    </row>
    <row r="784" spans="2:6" ht="12.75" customHeight="1" x14ac:dyDescent="0.2">
      <c r="B784" s="174"/>
      <c r="C784" s="174"/>
      <c r="D784" s="174"/>
      <c r="E784" s="174"/>
      <c r="F784" s="174"/>
    </row>
    <row r="785" spans="2:6" ht="12.75" customHeight="1" x14ac:dyDescent="0.2">
      <c r="B785" s="174"/>
      <c r="C785" s="174"/>
      <c r="D785" s="174"/>
      <c r="E785" s="174"/>
      <c r="F785" s="174"/>
    </row>
    <row r="786" spans="2:6" ht="12.75" customHeight="1" x14ac:dyDescent="0.2">
      <c r="B786" s="174"/>
      <c r="C786" s="174"/>
      <c r="D786" s="174"/>
      <c r="E786" s="174"/>
      <c r="F786" s="174"/>
    </row>
    <row r="787" spans="2:6" ht="12.75" customHeight="1" x14ac:dyDescent="0.2">
      <c r="B787" s="174"/>
      <c r="C787" s="174"/>
      <c r="D787" s="174"/>
      <c r="E787" s="174"/>
      <c r="F787" s="174"/>
    </row>
    <row r="788" spans="2:6" ht="12.75" customHeight="1" x14ac:dyDescent="0.2">
      <c r="B788" s="174"/>
      <c r="C788" s="174"/>
      <c r="D788" s="174"/>
      <c r="E788" s="174"/>
      <c r="F788" s="174"/>
    </row>
    <row r="789" spans="2:6" ht="12.75" customHeight="1" x14ac:dyDescent="0.2">
      <c r="B789" s="174"/>
      <c r="C789" s="174"/>
      <c r="D789" s="174"/>
      <c r="E789" s="174"/>
      <c r="F789" s="174"/>
    </row>
    <row r="790" spans="2:6" ht="12.75" customHeight="1" x14ac:dyDescent="0.2">
      <c r="B790" s="174"/>
      <c r="C790" s="174"/>
      <c r="D790" s="174"/>
      <c r="E790" s="174"/>
      <c r="F790" s="174"/>
    </row>
    <row r="791" spans="2:6" ht="12.75" customHeight="1" x14ac:dyDescent="0.2">
      <c r="B791" s="174"/>
      <c r="C791" s="174"/>
      <c r="D791" s="174"/>
      <c r="E791" s="174"/>
      <c r="F791" s="174"/>
    </row>
    <row r="792" spans="2:6" ht="12.75" customHeight="1" x14ac:dyDescent="0.2">
      <c r="B792" s="174"/>
      <c r="C792" s="174"/>
      <c r="D792" s="174"/>
      <c r="E792" s="174"/>
      <c r="F792" s="174"/>
    </row>
    <row r="793" spans="2:6" ht="12.75" customHeight="1" x14ac:dyDescent="0.2">
      <c r="B793" s="174"/>
      <c r="C793" s="174"/>
      <c r="D793" s="174"/>
      <c r="E793" s="174"/>
      <c r="F793" s="174"/>
    </row>
    <row r="794" spans="2:6" ht="12.75" customHeight="1" x14ac:dyDescent="0.2">
      <c r="B794" s="174"/>
      <c r="C794" s="174"/>
      <c r="D794" s="174"/>
      <c r="E794" s="174"/>
      <c r="F794" s="174"/>
    </row>
    <row r="795" spans="2:6" ht="12.75" customHeight="1" x14ac:dyDescent="0.2">
      <c r="B795" s="174"/>
      <c r="C795" s="174"/>
      <c r="D795" s="174"/>
      <c r="E795" s="174"/>
      <c r="F795" s="174"/>
    </row>
    <row r="796" spans="2:6" ht="12.75" customHeight="1" x14ac:dyDescent="0.2">
      <c r="B796" s="174"/>
      <c r="C796" s="174"/>
      <c r="D796" s="174"/>
      <c r="E796" s="174"/>
      <c r="F796" s="174"/>
    </row>
    <row r="797" spans="2:6" ht="12.75" customHeight="1" x14ac:dyDescent="0.2">
      <c r="B797" s="174"/>
      <c r="C797" s="174"/>
      <c r="D797" s="174"/>
      <c r="E797" s="174"/>
      <c r="F797" s="174"/>
    </row>
    <row r="798" spans="2:6" ht="12.75" customHeight="1" x14ac:dyDescent="0.2">
      <c r="B798" s="174"/>
      <c r="C798" s="174"/>
      <c r="D798" s="174"/>
      <c r="E798" s="174"/>
      <c r="F798" s="174"/>
    </row>
    <row r="799" spans="2:6" ht="12.75" customHeight="1" x14ac:dyDescent="0.2">
      <c r="B799" s="174"/>
      <c r="C799" s="174"/>
      <c r="D799" s="174"/>
      <c r="E799" s="174"/>
      <c r="F799" s="174"/>
    </row>
    <row r="800" spans="2:6" ht="12.75" customHeight="1" x14ac:dyDescent="0.2">
      <c r="B800" s="174"/>
      <c r="C800" s="174"/>
      <c r="D800" s="174"/>
      <c r="E800" s="174"/>
      <c r="F800" s="174"/>
    </row>
    <row r="801" spans="2:6" ht="12.75" customHeight="1" x14ac:dyDescent="0.2">
      <c r="B801" s="174"/>
      <c r="C801" s="174"/>
      <c r="D801" s="174"/>
      <c r="E801" s="174"/>
      <c r="F801" s="174"/>
    </row>
    <row r="802" spans="2:6" ht="12.75" customHeight="1" x14ac:dyDescent="0.2">
      <c r="B802" s="174"/>
      <c r="C802" s="174"/>
      <c r="D802" s="174"/>
      <c r="E802" s="174"/>
      <c r="F802" s="174"/>
    </row>
    <row r="803" spans="2:6" ht="12.75" customHeight="1" x14ac:dyDescent="0.2">
      <c r="B803" s="174"/>
      <c r="C803" s="174"/>
      <c r="D803" s="174"/>
      <c r="E803" s="174"/>
      <c r="F803" s="174"/>
    </row>
    <row r="804" spans="2:6" ht="12.75" customHeight="1" x14ac:dyDescent="0.2">
      <c r="B804" s="174"/>
      <c r="C804" s="174"/>
      <c r="D804" s="174"/>
      <c r="E804" s="174"/>
      <c r="F804" s="174"/>
    </row>
    <row r="805" spans="2:6" ht="12.75" customHeight="1" x14ac:dyDescent="0.2">
      <c r="B805" s="174"/>
      <c r="C805" s="174"/>
      <c r="D805" s="174"/>
      <c r="E805" s="174"/>
      <c r="F805" s="174"/>
    </row>
    <row r="806" spans="2:6" ht="12.75" customHeight="1" x14ac:dyDescent="0.2">
      <c r="B806" s="174"/>
      <c r="C806" s="174"/>
      <c r="D806" s="174"/>
      <c r="E806" s="174"/>
      <c r="F806" s="174"/>
    </row>
    <row r="807" spans="2:6" ht="12.75" customHeight="1" x14ac:dyDescent="0.2">
      <c r="B807" s="174"/>
      <c r="C807" s="174"/>
      <c r="D807" s="174"/>
      <c r="E807" s="174"/>
      <c r="F807" s="174"/>
    </row>
    <row r="808" spans="2:6" ht="12.75" customHeight="1" x14ac:dyDescent="0.2">
      <c r="B808" s="174"/>
      <c r="C808" s="174"/>
      <c r="D808" s="174"/>
      <c r="E808" s="174"/>
      <c r="F808" s="174"/>
    </row>
    <row r="809" spans="2:6" ht="12.75" customHeight="1" x14ac:dyDescent="0.2">
      <c r="B809" s="174"/>
      <c r="C809" s="174"/>
      <c r="D809" s="174"/>
      <c r="E809" s="174"/>
      <c r="F809" s="174"/>
    </row>
    <row r="810" spans="2:6" ht="12.75" customHeight="1" x14ac:dyDescent="0.2">
      <c r="B810" s="174"/>
      <c r="C810" s="174"/>
      <c r="D810" s="174"/>
      <c r="E810" s="174"/>
      <c r="F810" s="174"/>
    </row>
    <row r="811" spans="2:6" ht="12.75" customHeight="1" x14ac:dyDescent="0.2">
      <c r="B811" s="174"/>
      <c r="C811" s="174"/>
      <c r="D811" s="174"/>
      <c r="E811" s="174"/>
      <c r="F811" s="174"/>
    </row>
    <row r="812" spans="2:6" ht="12.75" customHeight="1" x14ac:dyDescent="0.2">
      <c r="B812" s="174"/>
      <c r="C812" s="174"/>
      <c r="D812" s="174"/>
      <c r="E812" s="174"/>
      <c r="F812" s="174"/>
    </row>
    <row r="813" spans="2:6" ht="12.75" customHeight="1" x14ac:dyDescent="0.2">
      <c r="B813" s="174"/>
      <c r="C813" s="174"/>
      <c r="D813" s="174"/>
      <c r="E813" s="174"/>
      <c r="F813" s="174"/>
    </row>
    <row r="814" spans="2:6" ht="12.75" customHeight="1" x14ac:dyDescent="0.2">
      <c r="B814" s="174"/>
      <c r="C814" s="174"/>
      <c r="D814" s="174"/>
      <c r="E814" s="174"/>
      <c r="F814" s="174"/>
    </row>
    <row r="815" spans="2:6" ht="12.75" customHeight="1" x14ac:dyDescent="0.2">
      <c r="B815" s="174"/>
      <c r="C815" s="174"/>
      <c r="D815" s="174"/>
      <c r="E815" s="174"/>
      <c r="F815" s="174"/>
    </row>
    <row r="816" spans="2:6" ht="12.75" customHeight="1" x14ac:dyDescent="0.2">
      <c r="B816" s="174"/>
      <c r="C816" s="174"/>
      <c r="D816" s="174"/>
      <c r="E816" s="174"/>
      <c r="F816" s="174"/>
    </row>
    <row r="817" spans="2:6" ht="12.75" customHeight="1" x14ac:dyDescent="0.2">
      <c r="B817" s="174"/>
      <c r="C817" s="174"/>
      <c r="D817" s="174"/>
      <c r="E817" s="174"/>
      <c r="F817" s="174"/>
    </row>
    <row r="818" spans="2:6" ht="12.75" customHeight="1" x14ac:dyDescent="0.2">
      <c r="B818" s="174"/>
      <c r="C818" s="174"/>
      <c r="D818" s="174"/>
      <c r="E818" s="174"/>
      <c r="F818" s="174"/>
    </row>
    <row r="819" spans="2:6" ht="12.75" customHeight="1" x14ac:dyDescent="0.2">
      <c r="B819" s="174"/>
      <c r="C819" s="174"/>
      <c r="D819" s="174"/>
      <c r="E819" s="174"/>
      <c r="F819" s="174"/>
    </row>
    <row r="820" spans="2:6" ht="12.75" customHeight="1" x14ac:dyDescent="0.2">
      <c r="B820" s="174"/>
      <c r="C820" s="174"/>
      <c r="D820" s="174"/>
      <c r="E820" s="174"/>
      <c r="F820" s="174"/>
    </row>
    <row r="821" spans="2:6" ht="12.75" customHeight="1" x14ac:dyDescent="0.2">
      <c r="B821" s="174"/>
      <c r="C821" s="174"/>
      <c r="D821" s="174"/>
      <c r="E821" s="174"/>
      <c r="F821" s="174"/>
    </row>
    <row r="822" spans="2:6" ht="12.75" customHeight="1" x14ac:dyDescent="0.2">
      <c r="B822" s="174"/>
      <c r="C822" s="174"/>
      <c r="D822" s="174"/>
      <c r="E822" s="174"/>
      <c r="F822" s="174"/>
    </row>
    <row r="823" spans="2:6" ht="12.75" customHeight="1" x14ac:dyDescent="0.2">
      <c r="B823" s="174"/>
      <c r="C823" s="174"/>
      <c r="D823" s="174"/>
      <c r="E823" s="174"/>
      <c r="F823" s="174"/>
    </row>
    <row r="824" spans="2:6" ht="12.75" customHeight="1" x14ac:dyDescent="0.2">
      <c r="B824" s="174"/>
      <c r="C824" s="174"/>
      <c r="D824" s="174"/>
      <c r="E824" s="174"/>
      <c r="F824" s="174"/>
    </row>
    <row r="825" spans="2:6" ht="12.75" customHeight="1" x14ac:dyDescent="0.2">
      <c r="B825" s="174"/>
      <c r="C825" s="174"/>
      <c r="D825" s="174"/>
      <c r="E825" s="174"/>
      <c r="F825" s="174"/>
    </row>
    <row r="826" spans="2:6" ht="12.75" customHeight="1" x14ac:dyDescent="0.2">
      <c r="B826" s="174"/>
      <c r="C826" s="174"/>
      <c r="D826" s="174"/>
      <c r="E826" s="174"/>
      <c r="F826" s="174"/>
    </row>
    <row r="827" spans="2:6" ht="12.75" customHeight="1" x14ac:dyDescent="0.2">
      <c r="B827" s="174"/>
      <c r="C827" s="174"/>
      <c r="D827" s="174"/>
      <c r="E827" s="174"/>
      <c r="F827" s="174"/>
    </row>
    <row r="828" spans="2:6" ht="12.75" customHeight="1" x14ac:dyDescent="0.2">
      <c r="B828" s="174"/>
      <c r="C828" s="174"/>
      <c r="D828" s="174"/>
      <c r="E828" s="174"/>
      <c r="F828" s="174"/>
    </row>
    <row r="829" spans="2:6" ht="12.75" customHeight="1" x14ac:dyDescent="0.2">
      <c r="B829" s="174"/>
      <c r="C829" s="174"/>
      <c r="D829" s="174"/>
      <c r="E829" s="174"/>
      <c r="F829" s="174"/>
    </row>
    <row r="830" spans="2:6" ht="12.75" customHeight="1" x14ac:dyDescent="0.2">
      <c r="B830" s="174"/>
      <c r="C830" s="174"/>
      <c r="D830" s="174"/>
      <c r="E830" s="174"/>
      <c r="F830" s="174"/>
    </row>
    <row r="831" spans="2:6" ht="12.75" customHeight="1" x14ac:dyDescent="0.2">
      <c r="B831" s="174"/>
      <c r="C831" s="174"/>
      <c r="D831" s="174"/>
      <c r="E831" s="174"/>
      <c r="F831" s="174"/>
    </row>
    <row r="832" spans="2:6" ht="12.75" customHeight="1" x14ac:dyDescent="0.2">
      <c r="B832" s="174"/>
      <c r="C832" s="174"/>
      <c r="D832" s="174"/>
      <c r="E832" s="174"/>
      <c r="F832" s="174"/>
    </row>
    <row r="833" spans="2:6" ht="12.75" customHeight="1" x14ac:dyDescent="0.2">
      <c r="B833" s="174"/>
      <c r="C833" s="174"/>
      <c r="D833" s="174"/>
      <c r="E833" s="174"/>
      <c r="F833" s="174"/>
    </row>
    <row r="834" spans="2:6" ht="12.75" customHeight="1" x14ac:dyDescent="0.2">
      <c r="B834" s="174"/>
      <c r="C834" s="174"/>
      <c r="D834" s="174"/>
      <c r="E834" s="174"/>
      <c r="F834" s="174"/>
    </row>
    <row r="835" spans="2:6" ht="12.75" customHeight="1" x14ac:dyDescent="0.2">
      <c r="B835" s="174"/>
      <c r="C835" s="174"/>
      <c r="D835" s="174"/>
      <c r="E835" s="174"/>
      <c r="F835" s="174"/>
    </row>
    <row r="836" spans="2:6" ht="12.75" customHeight="1" x14ac:dyDescent="0.2">
      <c r="B836" s="174"/>
      <c r="C836" s="174"/>
      <c r="D836" s="174"/>
      <c r="E836" s="174"/>
      <c r="F836" s="174"/>
    </row>
    <row r="837" spans="2:6" ht="12.75" customHeight="1" x14ac:dyDescent="0.2">
      <c r="B837" s="174"/>
      <c r="C837" s="174"/>
      <c r="D837" s="174"/>
      <c r="E837" s="174"/>
      <c r="F837" s="174"/>
    </row>
    <row r="838" spans="2:6" ht="12.75" customHeight="1" x14ac:dyDescent="0.2">
      <c r="B838" s="174"/>
      <c r="C838" s="174"/>
      <c r="D838" s="174"/>
      <c r="E838" s="174"/>
      <c r="F838" s="174"/>
    </row>
    <row r="839" spans="2:6" ht="12.75" customHeight="1" x14ac:dyDescent="0.2">
      <c r="B839" s="174"/>
      <c r="C839" s="174"/>
      <c r="D839" s="174"/>
      <c r="E839" s="174"/>
      <c r="F839" s="174"/>
    </row>
    <row r="840" spans="2:6" ht="12.75" customHeight="1" x14ac:dyDescent="0.2">
      <c r="B840" s="174"/>
      <c r="C840" s="174"/>
      <c r="D840" s="174"/>
      <c r="E840" s="174"/>
      <c r="F840" s="174"/>
    </row>
    <row r="841" spans="2:6" ht="12.75" customHeight="1" x14ac:dyDescent="0.2">
      <c r="B841" s="174"/>
      <c r="C841" s="174"/>
      <c r="D841" s="174"/>
      <c r="E841" s="174"/>
      <c r="F841" s="174"/>
    </row>
    <row r="842" spans="2:6" ht="12.75" customHeight="1" x14ac:dyDescent="0.2">
      <c r="B842" s="174"/>
      <c r="C842" s="174"/>
      <c r="D842" s="174"/>
      <c r="E842" s="174"/>
      <c r="F842" s="174"/>
    </row>
    <row r="843" spans="2:6" ht="12.75" customHeight="1" x14ac:dyDescent="0.2">
      <c r="B843" s="174"/>
      <c r="C843" s="174"/>
      <c r="D843" s="174"/>
      <c r="E843" s="174"/>
      <c r="F843" s="174"/>
    </row>
    <row r="844" spans="2:6" ht="12.75" customHeight="1" x14ac:dyDescent="0.2">
      <c r="B844" s="174"/>
      <c r="C844" s="174"/>
      <c r="D844" s="174"/>
      <c r="E844" s="174"/>
      <c r="F844" s="174"/>
    </row>
    <row r="845" spans="2:6" ht="12.75" customHeight="1" x14ac:dyDescent="0.2">
      <c r="B845" s="174"/>
      <c r="C845" s="174"/>
      <c r="D845" s="174"/>
      <c r="E845" s="174"/>
      <c r="F845" s="174"/>
    </row>
    <row r="846" spans="2:6" ht="12.75" customHeight="1" x14ac:dyDescent="0.2">
      <c r="B846" s="174"/>
      <c r="C846" s="174"/>
      <c r="D846" s="174"/>
      <c r="E846" s="174"/>
      <c r="F846" s="174"/>
    </row>
    <row r="847" spans="2:6" ht="12.75" customHeight="1" x14ac:dyDescent="0.2">
      <c r="B847" s="174"/>
      <c r="C847" s="174"/>
      <c r="D847" s="174"/>
      <c r="E847" s="174"/>
      <c r="F847" s="174"/>
    </row>
    <row r="848" spans="2:6" ht="12.75" customHeight="1" x14ac:dyDescent="0.2">
      <c r="B848" s="174"/>
      <c r="C848" s="174"/>
      <c r="D848" s="174"/>
      <c r="E848" s="174"/>
      <c r="F848" s="174"/>
    </row>
    <row r="849" spans="2:6" ht="12.75" customHeight="1" x14ac:dyDescent="0.2">
      <c r="B849" s="174"/>
      <c r="C849" s="174"/>
      <c r="D849" s="174"/>
      <c r="E849" s="174"/>
      <c r="F849" s="174"/>
    </row>
    <row r="850" spans="2:6" ht="12.75" customHeight="1" x14ac:dyDescent="0.2">
      <c r="B850" s="174"/>
      <c r="C850" s="174"/>
      <c r="D850" s="174"/>
      <c r="E850" s="174"/>
      <c r="F850" s="174"/>
    </row>
    <row r="851" spans="2:6" ht="12.75" customHeight="1" x14ac:dyDescent="0.2">
      <c r="B851" s="174"/>
      <c r="C851" s="174"/>
      <c r="D851" s="174"/>
      <c r="E851" s="174"/>
      <c r="F851" s="174"/>
    </row>
    <row r="852" spans="2:6" ht="12.75" customHeight="1" x14ac:dyDescent="0.2">
      <c r="B852" s="174"/>
      <c r="C852" s="174"/>
      <c r="D852" s="174"/>
      <c r="E852" s="174"/>
      <c r="F852" s="174"/>
    </row>
    <row r="853" spans="2:6" ht="12.75" customHeight="1" x14ac:dyDescent="0.2">
      <c r="B853" s="174"/>
      <c r="C853" s="174"/>
      <c r="D853" s="174"/>
      <c r="E853" s="174"/>
      <c r="F853" s="174"/>
    </row>
    <row r="854" spans="2:6" ht="12.75" customHeight="1" x14ac:dyDescent="0.2">
      <c r="B854" s="174"/>
      <c r="C854" s="174"/>
      <c r="D854" s="174"/>
      <c r="E854" s="174"/>
      <c r="F854" s="174"/>
    </row>
    <row r="855" spans="2:6" ht="12.75" customHeight="1" x14ac:dyDescent="0.2">
      <c r="B855" s="174"/>
      <c r="C855" s="174"/>
      <c r="D855" s="174"/>
      <c r="E855" s="174"/>
      <c r="F855" s="174"/>
    </row>
    <row r="856" spans="2:6" ht="12.75" customHeight="1" x14ac:dyDescent="0.2">
      <c r="B856" s="174"/>
      <c r="C856" s="174"/>
      <c r="D856" s="174"/>
      <c r="E856" s="174"/>
      <c r="F856" s="174"/>
    </row>
    <row r="857" spans="2:6" ht="12.75" customHeight="1" x14ac:dyDescent="0.2">
      <c r="B857" s="174"/>
      <c r="C857" s="174"/>
      <c r="D857" s="174"/>
      <c r="E857" s="174"/>
      <c r="F857" s="174"/>
    </row>
    <row r="858" spans="2:6" ht="12.75" customHeight="1" x14ac:dyDescent="0.2">
      <c r="B858" s="174"/>
      <c r="C858" s="174"/>
      <c r="D858" s="174"/>
      <c r="E858" s="174"/>
      <c r="F858" s="174"/>
    </row>
    <row r="859" spans="2:6" ht="12.75" customHeight="1" x14ac:dyDescent="0.2">
      <c r="B859" s="174"/>
      <c r="C859" s="174"/>
      <c r="D859" s="174"/>
      <c r="E859" s="174"/>
      <c r="F859" s="174"/>
    </row>
    <row r="860" spans="2:6" ht="12.75" customHeight="1" x14ac:dyDescent="0.2">
      <c r="B860" s="174"/>
      <c r="C860" s="174"/>
      <c r="D860" s="174"/>
      <c r="E860" s="174"/>
      <c r="F860" s="174"/>
    </row>
    <row r="861" spans="2:6" ht="12.75" customHeight="1" x14ac:dyDescent="0.2">
      <c r="B861" s="174"/>
      <c r="C861" s="174"/>
      <c r="D861" s="174"/>
      <c r="E861" s="174"/>
      <c r="F861" s="174"/>
    </row>
    <row r="862" spans="2:6" ht="12.75" customHeight="1" x14ac:dyDescent="0.2">
      <c r="B862" s="174"/>
      <c r="C862" s="174"/>
      <c r="D862" s="174"/>
      <c r="E862" s="174"/>
      <c r="F862" s="174"/>
    </row>
    <row r="863" spans="2:6" ht="12.75" customHeight="1" x14ac:dyDescent="0.2">
      <c r="B863" s="174"/>
      <c r="C863" s="174"/>
      <c r="D863" s="174"/>
      <c r="E863" s="174"/>
      <c r="F863" s="174"/>
    </row>
    <row r="864" spans="2:6" ht="12.75" customHeight="1" x14ac:dyDescent="0.2">
      <c r="B864" s="174"/>
      <c r="C864" s="174"/>
      <c r="D864" s="174"/>
      <c r="E864" s="174"/>
      <c r="F864" s="174"/>
    </row>
    <row r="865" spans="2:6" ht="12.75" customHeight="1" x14ac:dyDescent="0.2">
      <c r="B865" s="174"/>
      <c r="C865" s="174"/>
      <c r="D865" s="174"/>
      <c r="E865" s="174"/>
      <c r="F865" s="174"/>
    </row>
    <row r="866" spans="2:6" ht="12.75" customHeight="1" x14ac:dyDescent="0.2">
      <c r="B866" s="174"/>
      <c r="C866" s="174"/>
      <c r="D866" s="174"/>
      <c r="E866" s="174"/>
      <c r="F866" s="174"/>
    </row>
    <row r="867" spans="2:6" ht="12.75" customHeight="1" x14ac:dyDescent="0.2">
      <c r="B867" s="174"/>
      <c r="C867" s="174"/>
      <c r="D867" s="174"/>
      <c r="E867" s="174"/>
      <c r="F867" s="174"/>
    </row>
    <row r="868" spans="2:6" ht="12.75" customHeight="1" x14ac:dyDescent="0.2">
      <c r="B868" s="174"/>
      <c r="C868" s="174"/>
      <c r="D868" s="174"/>
      <c r="E868" s="174"/>
      <c r="F868" s="174"/>
    </row>
    <row r="869" spans="2:6" ht="12.75" customHeight="1" x14ac:dyDescent="0.2">
      <c r="B869" s="174"/>
      <c r="C869" s="174"/>
      <c r="D869" s="174"/>
      <c r="E869" s="174"/>
      <c r="F869" s="174"/>
    </row>
    <row r="870" spans="2:6" ht="12.75" customHeight="1" x14ac:dyDescent="0.2">
      <c r="B870" s="174"/>
      <c r="C870" s="174"/>
      <c r="D870" s="174"/>
      <c r="E870" s="174"/>
      <c r="F870" s="174"/>
    </row>
    <row r="871" spans="2:6" ht="12.75" customHeight="1" x14ac:dyDescent="0.2">
      <c r="B871" s="174"/>
      <c r="C871" s="174"/>
      <c r="D871" s="174"/>
      <c r="E871" s="174"/>
      <c r="F871" s="174"/>
    </row>
    <row r="872" spans="2:6" ht="12.75" customHeight="1" x14ac:dyDescent="0.2">
      <c r="B872" s="174"/>
      <c r="C872" s="174"/>
      <c r="D872" s="174"/>
      <c r="E872" s="174"/>
      <c r="F872" s="174"/>
    </row>
    <row r="873" spans="2:6" ht="12.75" customHeight="1" x14ac:dyDescent="0.2">
      <c r="B873" s="174"/>
      <c r="C873" s="174"/>
      <c r="D873" s="174"/>
      <c r="E873" s="174"/>
      <c r="F873" s="174"/>
    </row>
    <row r="874" spans="2:6" ht="12.75" customHeight="1" x14ac:dyDescent="0.2">
      <c r="B874" s="174"/>
      <c r="C874" s="174"/>
      <c r="D874" s="174"/>
      <c r="E874" s="174"/>
      <c r="F874" s="174"/>
    </row>
    <row r="875" spans="2:6" ht="12.75" customHeight="1" x14ac:dyDescent="0.2">
      <c r="B875" s="174"/>
      <c r="C875" s="174"/>
      <c r="D875" s="174"/>
      <c r="E875" s="174"/>
      <c r="F875" s="174"/>
    </row>
    <row r="876" spans="2:6" ht="12.75" customHeight="1" x14ac:dyDescent="0.2">
      <c r="B876" s="174"/>
      <c r="C876" s="174"/>
      <c r="D876" s="174"/>
      <c r="E876" s="174"/>
      <c r="F876" s="174"/>
    </row>
    <row r="877" spans="2:6" ht="12.75" customHeight="1" x14ac:dyDescent="0.2">
      <c r="B877" s="174"/>
      <c r="C877" s="174"/>
      <c r="D877" s="174"/>
      <c r="E877" s="174"/>
      <c r="F877" s="174"/>
    </row>
    <row r="878" spans="2:6" ht="12.75" customHeight="1" x14ac:dyDescent="0.2">
      <c r="B878" s="174"/>
      <c r="C878" s="174"/>
      <c r="D878" s="174"/>
      <c r="E878" s="174"/>
      <c r="F878" s="174"/>
    </row>
    <row r="879" spans="2:6" ht="12.75" customHeight="1" x14ac:dyDescent="0.2">
      <c r="B879" s="174"/>
      <c r="C879" s="174"/>
      <c r="D879" s="174"/>
      <c r="E879" s="174"/>
      <c r="F879" s="174"/>
    </row>
    <row r="880" spans="2:6" ht="12.75" customHeight="1" x14ac:dyDescent="0.2">
      <c r="B880" s="174"/>
      <c r="C880" s="174"/>
      <c r="D880" s="174"/>
      <c r="E880" s="174"/>
      <c r="F880" s="174"/>
    </row>
    <row r="881" spans="2:6" ht="12.75" customHeight="1" x14ac:dyDescent="0.2">
      <c r="B881" s="174"/>
      <c r="C881" s="174"/>
      <c r="D881" s="174"/>
      <c r="E881" s="174"/>
      <c r="F881" s="174"/>
    </row>
    <row r="882" spans="2:6" ht="12.75" customHeight="1" x14ac:dyDescent="0.2">
      <c r="B882" s="174"/>
      <c r="C882" s="174"/>
      <c r="D882" s="174"/>
      <c r="E882" s="174"/>
      <c r="F882" s="174"/>
    </row>
    <row r="883" spans="2:6" ht="12.75" customHeight="1" x14ac:dyDescent="0.2">
      <c r="B883" s="174"/>
      <c r="C883" s="174"/>
      <c r="D883" s="174"/>
      <c r="E883" s="174"/>
      <c r="F883" s="174"/>
    </row>
    <row r="884" spans="2:6" ht="12.75" customHeight="1" x14ac:dyDescent="0.2">
      <c r="B884" s="174"/>
      <c r="C884" s="174"/>
      <c r="D884" s="174"/>
      <c r="E884" s="174"/>
      <c r="F884" s="174"/>
    </row>
    <row r="885" spans="2:6" ht="12.75" customHeight="1" x14ac:dyDescent="0.2">
      <c r="B885" s="174"/>
      <c r="C885" s="174"/>
      <c r="D885" s="174"/>
      <c r="E885" s="174"/>
      <c r="F885" s="174"/>
    </row>
    <row r="886" spans="2:6" ht="12.75" customHeight="1" x14ac:dyDescent="0.2">
      <c r="B886" s="174"/>
      <c r="C886" s="174"/>
      <c r="D886" s="174"/>
      <c r="E886" s="174"/>
      <c r="F886" s="174"/>
    </row>
    <row r="887" spans="2:6" ht="12.75" customHeight="1" x14ac:dyDescent="0.2">
      <c r="B887" s="174"/>
      <c r="C887" s="174"/>
      <c r="D887" s="174"/>
      <c r="E887" s="174"/>
      <c r="F887" s="174"/>
    </row>
    <row r="888" spans="2:6" ht="12.75" customHeight="1" x14ac:dyDescent="0.2">
      <c r="B888" s="174"/>
      <c r="C888" s="174"/>
      <c r="D888" s="174"/>
      <c r="E888" s="174"/>
      <c r="F888" s="174"/>
    </row>
    <row r="889" spans="2:6" ht="12.75" customHeight="1" x14ac:dyDescent="0.2">
      <c r="B889" s="174"/>
      <c r="C889" s="174"/>
      <c r="D889" s="174"/>
      <c r="E889" s="174"/>
      <c r="F889" s="174"/>
    </row>
    <row r="890" spans="2:6" ht="12.75" customHeight="1" x14ac:dyDescent="0.2">
      <c r="B890" s="174"/>
      <c r="C890" s="174"/>
      <c r="D890" s="174"/>
      <c r="E890" s="174"/>
      <c r="F890" s="174"/>
    </row>
    <row r="891" spans="2:6" ht="12.75" customHeight="1" x14ac:dyDescent="0.2">
      <c r="B891" s="174"/>
      <c r="C891" s="174"/>
      <c r="D891" s="174"/>
      <c r="E891" s="174"/>
      <c r="F891" s="174"/>
    </row>
    <row r="892" spans="2:6" ht="12.75" customHeight="1" x14ac:dyDescent="0.2">
      <c r="B892" s="174"/>
      <c r="C892" s="174"/>
      <c r="D892" s="174"/>
      <c r="E892" s="174"/>
      <c r="F892" s="174"/>
    </row>
    <row r="893" spans="2:6" ht="12.75" customHeight="1" x14ac:dyDescent="0.2">
      <c r="B893" s="174"/>
      <c r="C893" s="174"/>
      <c r="D893" s="174"/>
      <c r="E893" s="174"/>
      <c r="F893" s="174"/>
    </row>
    <row r="894" spans="2:6" ht="12.75" customHeight="1" x14ac:dyDescent="0.2">
      <c r="B894" s="174"/>
      <c r="C894" s="174"/>
      <c r="D894" s="174"/>
      <c r="E894" s="174"/>
      <c r="F894" s="174"/>
    </row>
    <row r="895" spans="2:6" ht="12.75" customHeight="1" x14ac:dyDescent="0.2">
      <c r="B895" s="174"/>
      <c r="C895" s="174"/>
      <c r="D895" s="174"/>
      <c r="E895" s="174"/>
      <c r="F895" s="174"/>
    </row>
    <row r="896" spans="2:6" ht="12.75" customHeight="1" x14ac:dyDescent="0.2">
      <c r="B896" s="174"/>
      <c r="C896" s="174"/>
      <c r="D896" s="174"/>
      <c r="E896" s="174"/>
      <c r="F896" s="174"/>
    </row>
    <row r="897" spans="2:6" ht="12.75" customHeight="1" x14ac:dyDescent="0.2">
      <c r="B897" s="174"/>
      <c r="C897" s="174"/>
      <c r="D897" s="174"/>
      <c r="E897" s="174"/>
      <c r="F897" s="174"/>
    </row>
    <row r="898" spans="2:6" ht="12.75" customHeight="1" x14ac:dyDescent="0.2">
      <c r="B898" s="174"/>
      <c r="C898" s="174"/>
      <c r="D898" s="174"/>
      <c r="E898" s="174"/>
      <c r="F898" s="174"/>
    </row>
    <row r="899" spans="2:6" ht="12.75" customHeight="1" x14ac:dyDescent="0.2">
      <c r="B899" s="174"/>
      <c r="C899" s="174"/>
      <c r="D899" s="174"/>
      <c r="E899" s="174"/>
      <c r="F899" s="174"/>
    </row>
    <row r="900" spans="2:6" ht="12.75" customHeight="1" x14ac:dyDescent="0.2">
      <c r="B900" s="174"/>
      <c r="C900" s="174"/>
      <c r="D900" s="174"/>
      <c r="E900" s="174"/>
      <c r="F900" s="174"/>
    </row>
    <row r="901" spans="2:6" ht="12.75" customHeight="1" x14ac:dyDescent="0.2">
      <c r="B901" s="174"/>
      <c r="C901" s="174"/>
      <c r="D901" s="174"/>
      <c r="E901" s="174"/>
      <c r="F901" s="174"/>
    </row>
    <row r="902" spans="2:6" ht="12.75" customHeight="1" x14ac:dyDescent="0.2">
      <c r="B902" s="174"/>
      <c r="C902" s="174"/>
      <c r="D902" s="174"/>
      <c r="E902" s="174"/>
      <c r="F902" s="174"/>
    </row>
    <row r="903" spans="2:6" ht="12.75" customHeight="1" x14ac:dyDescent="0.2">
      <c r="B903" s="174"/>
      <c r="C903" s="174"/>
      <c r="D903" s="174"/>
      <c r="E903" s="174"/>
      <c r="F903" s="174"/>
    </row>
    <row r="904" spans="2:6" ht="12.75" customHeight="1" x14ac:dyDescent="0.2">
      <c r="B904" s="174"/>
      <c r="C904" s="174"/>
      <c r="D904" s="174"/>
      <c r="E904" s="174"/>
      <c r="F904" s="174"/>
    </row>
    <row r="905" spans="2:6" ht="12.75" customHeight="1" x14ac:dyDescent="0.2">
      <c r="B905" s="174"/>
      <c r="C905" s="174"/>
      <c r="D905" s="174"/>
      <c r="E905" s="174"/>
      <c r="F905" s="174"/>
    </row>
    <row r="906" spans="2:6" ht="12.75" customHeight="1" x14ac:dyDescent="0.2">
      <c r="B906" s="174"/>
      <c r="C906" s="174"/>
      <c r="D906" s="174"/>
      <c r="E906" s="174"/>
      <c r="F906" s="174"/>
    </row>
    <row r="907" spans="2:6" ht="12.75" customHeight="1" x14ac:dyDescent="0.2">
      <c r="B907" s="174"/>
      <c r="C907" s="174"/>
      <c r="D907" s="174"/>
      <c r="E907" s="174"/>
      <c r="F907" s="174"/>
    </row>
    <row r="908" spans="2:6" ht="12.75" customHeight="1" x14ac:dyDescent="0.2">
      <c r="B908" s="174"/>
      <c r="C908" s="174"/>
      <c r="D908" s="174"/>
      <c r="E908" s="174"/>
      <c r="F908" s="174"/>
    </row>
    <row r="909" spans="2:6" ht="12.75" customHeight="1" x14ac:dyDescent="0.2">
      <c r="B909" s="174"/>
      <c r="C909" s="174"/>
      <c r="D909" s="174"/>
      <c r="E909" s="174"/>
      <c r="F909" s="174"/>
    </row>
    <row r="910" spans="2:6" ht="12.75" customHeight="1" x14ac:dyDescent="0.2">
      <c r="B910" s="174"/>
      <c r="C910" s="174"/>
      <c r="D910" s="174"/>
      <c r="E910" s="174"/>
      <c r="F910" s="174"/>
    </row>
    <row r="911" spans="2:6" ht="12.75" customHeight="1" x14ac:dyDescent="0.2">
      <c r="B911" s="174"/>
      <c r="C911" s="174"/>
      <c r="D911" s="174"/>
      <c r="E911" s="174"/>
      <c r="F911" s="174"/>
    </row>
    <row r="912" spans="2:6" ht="12.75" customHeight="1" x14ac:dyDescent="0.2">
      <c r="B912" s="174"/>
      <c r="C912" s="174"/>
      <c r="D912" s="174"/>
      <c r="E912" s="174"/>
      <c r="F912" s="174"/>
    </row>
    <row r="913" spans="2:6" ht="12.75" customHeight="1" x14ac:dyDescent="0.2">
      <c r="B913" s="174"/>
      <c r="C913" s="174"/>
      <c r="D913" s="174"/>
      <c r="E913" s="174"/>
      <c r="F913" s="174"/>
    </row>
    <row r="914" spans="2:6" ht="12.75" customHeight="1" x14ac:dyDescent="0.2">
      <c r="B914" s="174"/>
      <c r="C914" s="174"/>
      <c r="D914" s="174"/>
      <c r="E914" s="174"/>
      <c r="F914" s="174"/>
    </row>
    <row r="915" spans="2:6" ht="12.75" customHeight="1" x14ac:dyDescent="0.2">
      <c r="B915" s="174"/>
      <c r="C915" s="174"/>
      <c r="D915" s="174"/>
      <c r="E915" s="174"/>
      <c r="F915" s="174"/>
    </row>
    <row r="916" spans="2:6" ht="12.75" customHeight="1" x14ac:dyDescent="0.2">
      <c r="B916" s="174"/>
      <c r="C916" s="174"/>
      <c r="D916" s="174"/>
      <c r="E916" s="174"/>
      <c r="F916" s="174"/>
    </row>
    <row r="917" spans="2:6" ht="12.75" customHeight="1" x14ac:dyDescent="0.2">
      <c r="B917" s="174"/>
      <c r="C917" s="174"/>
      <c r="D917" s="174"/>
      <c r="E917" s="174"/>
      <c r="F917" s="174"/>
    </row>
    <row r="918" spans="2:6" ht="12.75" customHeight="1" x14ac:dyDescent="0.2">
      <c r="B918" s="174"/>
      <c r="C918" s="174"/>
      <c r="D918" s="174"/>
      <c r="E918" s="174"/>
      <c r="F918" s="174"/>
    </row>
    <row r="919" spans="2:6" ht="12.75" customHeight="1" x14ac:dyDescent="0.2">
      <c r="B919" s="174"/>
      <c r="C919" s="174"/>
      <c r="D919" s="174"/>
      <c r="E919" s="174"/>
      <c r="F919" s="174"/>
    </row>
    <row r="920" spans="2:6" ht="12.75" customHeight="1" x14ac:dyDescent="0.2">
      <c r="B920" s="174"/>
      <c r="C920" s="174"/>
      <c r="D920" s="174"/>
      <c r="E920" s="174"/>
      <c r="F920" s="174"/>
    </row>
    <row r="921" spans="2:6" ht="12.75" customHeight="1" x14ac:dyDescent="0.2">
      <c r="B921" s="174"/>
      <c r="C921" s="174"/>
      <c r="D921" s="174"/>
      <c r="E921" s="174"/>
      <c r="F921" s="174"/>
    </row>
    <row r="922" spans="2:6" ht="12.75" customHeight="1" x14ac:dyDescent="0.2">
      <c r="B922" s="174"/>
      <c r="C922" s="174"/>
      <c r="D922" s="174"/>
      <c r="E922" s="174"/>
      <c r="F922" s="174"/>
    </row>
    <row r="923" spans="2:6" ht="12.75" customHeight="1" x14ac:dyDescent="0.2">
      <c r="B923" s="174"/>
      <c r="C923" s="174"/>
      <c r="D923" s="174"/>
      <c r="E923" s="174"/>
      <c r="F923" s="174"/>
    </row>
    <row r="924" spans="2:6" ht="12.75" customHeight="1" x14ac:dyDescent="0.2">
      <c r="B924" s="174"/>
      <c r="C924" s="174"/>
      <c r="D924" s="174"/>
      <c r="E924" s="174"/>
      <c r="F924" s="174"/>
    </row>
    <row r="925" spans="2:6" ht="12.75" customHeight="1" x14ac:dyDescent="0.2">
      <c r="B925" s="174"/>
      <c r="C925" s="174"/>
      <c r="D925" s="174"/>
      <c r="E925" s="174"/>
      <c r="F925" s="174"/>
    </row>
    <row r="926" spans="2:6" ht="12.75" customHeight="1" x14ac:dyDescent="0.2">
      <c r="B926" s="174"/>
      <c r="C926" s="174"/>
      <c r="D926" s="174"/>
      <c r="E926" s="174"/>
      <c r="F926" s="174"/>
    </row>
    <row r="927" spans="2:6" ht="12.75" customHeight="1" x14ac:dyDescent="0.2">
      <c r="B927" s="174"/>
      <c r="C927" s="174"/>
      <c r="D927" s="174"/>
      <c r="E927" s="174"/>
      <c r="F927" s="174"/>
    </row>
    <row r="928" spans="2:6" ht="12.75" customHeight="1" x14ac:dyDescent="0.2">
      <c r="B928" s="174"/>
      <c r="C928" s="174"/>
      <c r="D928" s="174"/>
      <c r="E928" s="174"/>
      <c r="F928" s="174"/>
    </row>
    <row r="929" spans="2:6" ht="12.75" customHeight="1" x14ac:dyDescent="0.2">
      <c r="B929" s="174"/>
      <c r="C929" s="174"/>
      <c r="D929" s="174"/>
      <c r="E929" s="174"/>
      <c r="F929" s="174"/>
    </row>
    <row r="930" spans="2:6" ht="12.75" customHeight="1" x14ac:dyDescent="0.2">
      <c r="B930" s="174"/>
      <c r="C930" s="174"/>
      <c r="D930" s="174"/>
      <c r="E930" s="174"/>
      <c r="F930" s="174"/>
    </row>
    <row r="931" spans="2:6" ht="12.75" customHeight="1" x14ac:dyDescent="0.2">
      <c r="B931" s="174"/>
      <c r="C931" s="174"/>
      <c r="D931" s="174"/>
      <c r="E931" s="174"/>
      <c r="F931" s="174"/>
    </row>
    <row r="932" spans="2:6" ht="12.75" customHeight="1" x14ac:dyDescent="0.2">
      <c r="B932" s="174"/>
      <c r="C932" s="174"/>
      <c r="D932" s="174"/>
      <c r="E932" s="174"/>
      <c r="F932" s="174"/>
    </row>
    <row r="933" spans="2:6" ht="12.75" customHeight="1" x14ac:dyDescent="0.2">
      <c r="B933" s="174"/>
      <c r="C933" s="174"/>
      <c r="D933" s="174"/>
      <c r="E933" s="174"/>
      <c r="F933" s="174"/>
    </row>
    <row r="934" spans="2:6" ht="12.75" customHeight="1" x14ac:dyDescent="0.2">
      <c r="B934" s="174"/>
      <c r="C934" s="174"/>
      <c r="D934" s="174"/>
      <c r="E934" s="174"/>
      <c r="F934" s="174"/>
    </row>
    <row r="935" spans="2:6" ht="12.75" customHeight="1" x14ac:dyDescent="0.2">
      <c r="B935" s="174"/>
      <c r="C935" s="174"/>
      <c r="D935" s="174"/>
      <c r="E935" s="174"/>
      <c r="F935" s="174"/>
    </row>
    <row r="936" spans="2:6" ht="12.75" customHeight="1" x14ac:dyDescent="0.2">
      <c r="B936" s="174"/>
      <c r="C936" s="174"/>
      <c r="D936" s="174"/>
      <c r="E936" s="174"/>
      <c r="F936" s="174"/>
    </row>
    <row r="937" spans="2:6" ht="12.75" customHeight="1" x14ac:dyDescent="0.2">
      <c r="B937" s="174"/>
      <c r="C937" s="174"/>
      <c r="D937" s="174"/>
      <c r="E937" s="174"/>
      <c r="F937" s="174"/>
    </row>
    <row r="938" spans="2:6" ht="12.75" customHeight="1" x14ac:dyDescent="0.2">
      <c r="B938" s="174"/>
      <c r="C938" s="174"/>
      <c r="D938" s="174"/>
      <c r="E938" s="174"/>
      <c r="F938" s="174"/>
    </row>
    <row r="939" spans="2:6" ht="12.75" customHeight="1" x14ac:dyDescent="0.2">
      <c r="B939" s="174"/>
      <c r="C939" s="174"/>
      <c r="D939" s="174"/>
      <c r="E939" s="174"/>
      <c r="F939" s="174"/>
    </row>
    <row r="940" spans="2:6" ht="12.75" customHeight="1" x14ac:dyDescent="0.2">
      <c r="B940" s="174"/>
      <c r="C940" s="174"/>
      <c r="D940" s="174"/>
      <c r="E940" s="174"/>
      <c r="F940" s="174"/>
    </row>
    <row r="941" spans="2:6" ht="12.75" customHeight="1" x14ac:dyDescent="0.2">
      <c r="B941" s="174"/>
      <c r="C941" s="174"/>
      <c r="D941" s="174"/>
      <c r="E941" s="174"/>
      <c r="F941" s="174"/>
    </row>
    <row r="942" spans="2:6" ht="12.75" customHeight="1" x14ac:dyDescent="0.2">
      <c r="B942" s="174"/>
      <c r="C942" s="174"/>
      <c r="D942" s="174"/>
      <c r="E942" s="174"/>
      <c r="F942" s="174"/>
    </row>
    <row r="943" spans="2:6" ht="12.75" customHeight="1" x14ac:dyDescent="0.2">
      <c r="B943" s="174"/>
      <c r="C943" s="174"/>
      <c r="D943" s="174"/>
      <c r="E943" s="174"/>
      <c r="F943" s="174"/>
    </row>
    <row r="944" spans="2:6" ht="12.75" customHeight="1" x14ac:dyDescent="0.2">
      <c r="B944" s="174"/>
      <c r="C944" s="174"/>
      <c r="D944" s="174"/>
      <c r="E944" s="174"/>
      <c r="F944" s="174"/>
    </row>
    <row r="945" spans="2:6" ht="12.75" customHeight="1" x14ac:dyDescent="0.2">
      <c r="B945" s="174"/>
      <c r="C945" s="174"/>
      <c r="D945" s="174"/>
      <c r="E945" s="174"/>
      <c r="F945" s="174"/>
    </row>
    <row r="946" spans="2:6" ht="12.75" customHeight="1" x14ac:dyDescent="0.2">
      <c r="B946" s="174"/>
      <c r="C946" s="174"/>
      <c r="D946" s="174"/>
      <c r="E946" s="174"/>
      <c r="F946" s="174"/>
    </row>
    <row r="947" spans="2:6" ht="12.75" customHeight="1" x14ac:dyDescent="0.2">
      <c r="B947" s="174"/>
      <c r="C947" s="174"/>
      <c r="D947" s="174"/>
      <c r="E947" s="174"/>
      <c r="F947" s="174"/>
    </row>
    <row r="948" spans="2:6" ht="12.75" customHeight="1" x14ac:dyDescent="0.2">
      <c r="B948" s="174"/>
      <c r="C948" s="174"/>
      <c r="D948" s="174"/>
      <c r="E948" s="174"/>
      <c r="F948" s="174"/>
    </row>
    <row r="949" spans="2:6" ht="12.75" customHeight="1" x14ac:dyDescent="0.2">
      <c r="B949" s="174"/>
      <c r="C949" s="174"/>
      <c r="D949" s="174"/>
      <c r="E949" s="174"/>
      <c r="F949" s="174"/>
    </row>
    <row r="950" spans="2:6" ht="12.75" customHeight="1" x14ac:dyDescent="0.2">
      <c r="B950" s="174"/>
      <c r="C950" s="174"/>
      <c r="D950" s="174"/>
      <c r="E950" s="174"/>
      <c r="F950" s="174"/>
    </row>
    <row r="951" spans="2:6" ht="12.75" customHeight="1" x14ac:dyDescent="0.2">
      <c r="B951" s="174"/>
      <c r="C951" s="174"/>
      <c r="D951" s="174"/>
      <c r="E951" s="174"/>
      <c r="F951" s="174"/>
    </row>
    <row r="952" spans="2:6" ht="12.75" customHeight="1" x14ac:dyDescent="0.2">
      <c r="B952" s="174"/>
      <c r="C952" s="174"/>
      <c r="D952" s="174"/>
      <c r="E952" s="174"/>
      <c r="F952" s="174"/>
    </row>
    <row r="953" spans="2:6" ht="12.75" customHeight="1" x14ac:dyDescent="0.2">
      <c r="B953" s="174"/>
      <c r="C953" s="174"/>
      <c r="D953" s="174"/>
      <c r="E953" s="174"/>
      <c r="F953" s="174"/>
    </row>
    <row r="954" spans="2:6" ht="12.75" customHeight="1" x14ac:dyDescent="0.2">
      <c r="B954" s="174"/>
      <c r="C954" s="174"/>
      <c r="D954" s="174"/>
      <c r="E954" s="174"/>
      <c r="F954" s="174"/>
    </row>
    <row r="955" spans="2:6" ht="12.75" customHeight="1" x14ac:dyDescent="0.2">
      <c r="B955" s="174"/>
      <c r="C955" s="174"/>
      <c r="D955" s="174"/>
      <c r="E955" s="174"/>
      <c r="F955" s="174"/>
    </row>
    <row r="956" spans="2:6" ht="12.75" customHeight="1" x14ac:dyDescent="0.2">
      <c r="B956" s="174"/>
      <c r="C956" s="174"/>
      <c r="D956" s="174"/>
      <c r="E956" s="174"/>
      <c r="F956" s="174"/>
    </row>
    <row r="957" spans="2:6" ht="12.75" customHeight="1" x14ac:dyDescent="0.2">
      <c r="B957" s="174"/>
      <c r="C957" s="174"/>
      <c r="D957" s="174"/>
      <c r="E957" s="174"/>
      <c r="F957" s="174"/>
    </row>
    <row r="958" spans="2:6" ht="12.75" customHeight="1" x14ac:dyDescent="0.2">
      <c r="B958" s="174"/>
      <c r="C958" s="174"/>
      <c r="D958" s="174"/>
      <c r="E958" s="174"/>
      <c r="F958" s="174"/>
    </row>
    <row r="959" spans="2:6" ht="12.75" customHeight="1" x14ac:dyDescent="0.2">
      <c r="B959" s="174"/>
      <c r="C959" s="174"/>
      <c r="D959" s="174"/>
      <c r="E959" s="174"/>
      <c r="F959" s="174"/>
    </row>
    <row r="960" spans="2:6" ht="12.75" customHeight="1" x14ac:dyDescent="0.2">
      <c r="B960" s="174"/>
      <c r="C960" s="174"/>
      <c r="D960" s="174"/>
      <c r="E960" s="174"/>
      <c r="F960" s="174"/>
    </row>
    <row r="961" spans="2:6" ht="12.75" customHeight="1" x14ac:dyDescent="0.2">
      <c r="B961" s="174"/>
      <c r="C961" s="174"/>
      <c r="D961" s="174"/>
      <c r="E961" s="174"/>
      <c r="F961" s="174"/>
    </row>
    <row r="962" spans="2:6" ht="12.75" customHeight="1" x14ac:dyDescent="0.2">
      <c r="B962" s="174"/>
      <c r="C962" s="174"/>
      <c r="D962" s="174"/>
      <c r="E962" s="174"/>
      <c r="F962" s="174"/>
    </row>
    <row r="963" spans="2:6" ht="12.75" customHeight="1" x14ac:dyDescent="0.2">
      <c r="B963" s="174"/>
      <c r="C963" s="174"/>
      <c r="D963" s="174"/>
      <c r="E963" s="174"/>
      <c r="F963" s="174"/>
    </row>
    <row r="964" spans="2:6" ht="12.75" customHeight="1" x14ac:dyDescent="0.2">
      <c r="B964" s="174"/>
      <c r="C964" s="174"/>
      <c r="D964" s="174"/>
      <c r="E964" s="174"/>
      <c r="F964" s="174"/>
    </row>
    <row r="965" spans="2:6" ht="12.75" customHeight="1" x14ac:dyDescent="0.2">
      <c r="B965" s="174"/>
      <c r="C965" s="174"/>
      <c r="D965" s="174"/>
      <c r="E965" s="174"/>
      <c r="F965" s="174"/>
    </row>
    <row r="966" spans="2:6" ht="12.75" customHeight="1" x14ac:dyDescent="0.2">
      <c r="B966" s="174"/>
      <c r="C966" s="174"/>
      <c r="D966" s="174"/>
      <c r="E966" s="174"/>
      <c r="F966" s="174"/>
    </row>
    <row r="967" spans="2:6" ht="12.75" customHeight="1" x14ac:dyDescent="0.2">
      <c r="B967" s="174"/>
      <c r="C967" s="174"/>
      <c r="D967" s="174"/>
      <c r="E967" s="174"/>
      <c r="F967" s="174"/>
    </row>
    <row r="968" spans="2:6" ht="12.75" customHeight="1" x14ac:dyDescent="0.2">
      <c r="B968" s="174"/>
      <c r="C968" s="174"/>
      <c r="D968" s="174"/>
      <c r="E968" s="174"/>
      <c r="F968" s="174"/>
    </row>
    <row r="969" spans="2:6" ht="12.75" customHeight="1" x14ac:dyDescent="0.2">
      <c r="B969" s="174"/>
      <c r="C969" s="174"/>
      <c r="D969" s="174"/>
      <c r="E969" s="174"/>
      <c r="F969" s="174"/>
    </row>
    <row r="970" spans="2:6" ht="12.75" customHeight="1" x14ac:dyDescent="0.2">
      <c r="B970" s="174"/>
      <c r="C970" s="174"/>
      <c r="D970" s="174"/>
      <c r="E970" s="174"/>
      <c r="F970" s="174"/>
    </row>
    <row r="971" spans="2:6" ht="12.75" customHeight="1" x14ac:dyDescent="0.2">
      <c r="B971" s="174"/>
      <c r="C971" s="174"/>
      <c r="D971" s="174"/>
      <c r="E971" s="174"/>
      <c r="F971" s="174"/>
    </row>
    <row r="972" spans="2:6" ht="12.75" customHeight="1" x14ac:dyDescent="0.2">
      <c r="B972" s="174"/>
      <c r="C972" s="174"/>
      <c r="D972" s="174"/>
      <c r="E972" s="174"/>
      <c r="F972" s="174"/>
    </row>
    <row r="973" spans="2:6" ht="12.75" customHeight="1" x14ac:dyDescent="0.2">
      <c r="B973" s="174"/>
      <c r="C973" s="174"/>
      <c r="D973" s="174"/>
      <c r="E973" s="174"/>
      <c r="F973" s="174"/>
    </row>
    <row r="974" spans="2:6" ht="12.75" customHeight="1" x14ac:dyDescent="0.2">
      <c r="B974" s="174"/>
      <c r="C974" s="174"/>
      <c r="D974" s="174"/>
      <c r="E974" s="174"/>
      <c r="F974" s="174"/>
    </row>
    <row r="975" spans="2:6" ht="12.75" customHeight="1" x14ac:dyDescent="0.2">
      <c r="B975" s="174"/>
      <c r="C975" s="174"/>
      <c r="D975" s="174"/>
      <c r="E975" s="174"/>
      <c r="F975" s="174"/>
    </row>
    <row r="976" spans="2:6" ht="12.75" customHeight="1" x14ac:dyDescent="0.2">
      <c r="B976" s="174"/>
      <c r="C976" s="174"/>
      <c r="D976" s="174"/>
      <c r="E976" s="174"/>
      <c r="F976" s="174"/>
    </row>
    <row r="977" spans="2:6" ht="12.75" customHeight="1" x14ac:dyDescent="0.2">
      <c r="B977" s="174"/>
      <c r="C977" s="174"/>
      <c r="D977" s="174"/>
      <c r="E977" s="174"/>
      <c r="F977" s="174"/>
    </row>
    <row r="978" spans="2:6" ht="12.75" customHeight="1" x14ac:dyDescent="0.2">
      <c r="B978" s="174"/>
      <c r="C978" s="174"/>
      <c r="D978" s="174"/>
      <c r="E978" s="174"/>
      <c r="F978" s="174"/>
    </row>
    <row r="979" spans="2:6" ht="12.75" customHeight="1" x14ac:dyDescent="0.2">
      <c r="B979" s="174"/>
      <c r="C979" s="174"/>
      <c r="D979" s="174"/>
      <c r="E979" s="174"/>
      <c r="F979" s="174"/>
    </row>
    <row r="980" spans="2:6" ht="12.75" customHeight="1" x14ac:dyDescent="0.2">
      <c r="B980" s="174"/>
      <c r="C980" s="174"/>
      <c r="D980" s="174"/>
      <c r="E980" s="174"/>
      <c r="F980" s="174"/>
    </row>
    <row r="981" spans="2:6" ht="12.75" customHeight="1" x14ac:dyDescent="0.2">
      <c r="B981" s="174"/>
      <c r="C981" s="174"/>
      <c r="D981" s="174"/>
      <c r="E981" s="174"/>
      <c r="F981" s="174"/>
    </row>
    <row r="982" spans="2:6" ht="12.75" customHeight="1" x14ac:dyDescent="0.2">
      <c r="B982" s="174"/>
      <c r="C982" s="174"/>
      <c r="D982" s="174"/>
      <c r="E982" s="174"/>
      <c r="F982" s="174"/>
    </row>
    <row r="983" spans="2:6" ht="12.75" customHeight="1" x14ac:dyDescent="0.2">
      <c r="B983" s="174"/>
      <c r="C983" s="174"/>
      <c r="D983" s="174"/>
      <c r="E983" s="174"/>
      <c r="F983" s="174"/>
    </row>
    <row r="984" spans="2:6" ht="12.75" customHeight="1" x14ac:dyDescent="0.2">
      <c r="B984" s="174"/>
      <c r="C984" s="174"/>
      <c r="D984" s="174"/>
      <c r="E984" s="174"/>
      <c r="F984" s="174"/>
    </row>
    <row r="985" spans="2:6" ht="12.75" customHeight="1" x14ac:dyDescent="0.2">
      <c r="B985" s="174"/>
      <c r="C985" s="174"/>
      <c r="D985" s="174"/>
      <c r="E985" s="174"/>
      <c r="F985" s="174"/>
    </row>
    <row r="986" spans="2:6" ht="12.75" customHeight="1" x14ac:dyDescent="0.2">
      <c r="B986" s="174"/>
      <c r="C986" s="174"/>
      <c r="D986" s="174"/>
      <c r="E986" s="174"/>
      <c r="F986" s="174"/>
    </row>
    <row r="987" spans="2:6" ht="12.75" customHeight="1" x14ac:dyDescent="0.2">
      <c r="B987" s="174"/>
      <c r="C987" s="174"/>
      <c r="D987" s="174"/>
      <c r="E987" s="174"/>
      <c r="F987" s="174"/>
    </row>
    <row r="988" spans="2:6" ht="12.75" customHeight="1" x14ac:dyDescent="0.2">
      <c r="B988" s="174"/>
      <c r="C988" s="174"/>
      <c r="D988" s="174"/>
      <c r="E988" s="174"/>
      <c r="F988" s="174"/>
    </row>
    <row r="989" spans="2:6" ht="12.75" customHeight="1" x14ac:dyDescent="0.2">
      <c r="B989" s="174"/>
      <c r="C989" s="174"/>
      <c r="D989" s="174"/>
      <c r="E989" s="174"/>
      <c r="F989" s="174"/>
    </row>
    <row r="990" spans="2:6" ht="12.75" customHeight="1" x14ac:dyDescent="0.2">
      <c r="B990" s="174"/>
      <c r="C990" s="174"/>
      <c r="D990" s="174"/>
      <c r="E990" s="174"/>
      <c r="F990" s="174"/>
    </row>
    <row r="991" spans="2:6" ht="12.75" customHeight="1" x14ac:dyDescent="0.2">
      <c r="B991" s="174"/>
      <c r="C991" s="174"/>
      <c r="D991" s="174"/>
      <c r="E991" s="174"/>
      <c r="F991" s="174"/>
    </row>
    <row r="992" spans="2:6" ht="12.75" customHeight="1" x14ac:dyDescent="0.2">
      <c r="B992" s="174"/>
      <c r="C992" s="174"/>
      <c r="D992" s="174"/>
      <c r="E992" s="174"/>
      <c r="F992" s="174"/>
    </row>
    <row r="993" spans="2:6" ht="12.75" customHeight="1" x14ac:dyDescent="0.2">
      <c r="B993" s="174"/>
      <c r="C993" s="174"/>
      <c r="D993" s="174"/>
      <c r="E993" s="174"/>
      <c r="F993" s="174"/>
    </row>
    <row r="994" spans="2:6" ht="12.75" customHeight="1" x14ac:dyDescent="0.2">
      <c r="B994" s="174"/>
      <c r="C994" s="174"/>
      <c r="D994" s="174"/>
      <c r="E994" s="174"/>
      <c r="F994" s="174"/>
    </row>
    <row r="995" spans="2:6" ht="12.75" customHeight="1" x14ac:dyDescent="0.2">
      <c r="B995" s="174"/>
      <c r="C995" s="174"/>
      <c r="D995" s="174"/>
      <c r="E995" s="174"/>
      <c r="F995" s="174"/>
    </row>
    <row r="996" spans="2:6" ht="12.75" customHeight="1" x14ac:dyDescent="0.2">
      <c r="B996" s="174"/>
      <c r="C996" s="174"/>
      <c r="D996" s="174"/>
      <c r="E996" s="174"/>
      <c r="F996" s="174"/>
    </row>
    <row r="997" spans="2:6" ht="12.75" customHeight="1" x14ac:dyDescent="0.2">
      <c r="B997" s="174"/>
      <c r="C997" s="174"/>
      <c r="D997" s="174"/>
      <c r="E997" s="174"/>
      <c r="F997" s="174"/>
    </row>
    <row r="998" spans="2:6" ht="12.75" customHeight="1" x14ac:dyDescent="0.2">
      <c r="B998" s="174"/>
      <c r="C998" s="174"/>
      <c r="D998" s="174"/>
      <c r="E998" s="174"/>
      <c r="F998" s="174"/>
    </row>
    <row r="999" spans="2:6" ht="12.75" customHeight="1" x14ac:dyDescent="0.2">
      <c r="B999" s="174"/>
      <c r="C999" s="174"/>
      <c r="D999" s="174"/>
      <c r="E999" s="174"/>
      <c r="F999" s="174"/>
    </row>
    <row r="1000" spans="2:6" ht="12.75" customHeight="1" x14ac:dyDescent="0.2">
      <c r="B1000" s="174"/>
      <c r="C1000" s="174"/>
      <c r="D1000" s="174"/>
      <c r="E1000" s="174"/>
      <c r="F1000" s="174"/>
    </row>
    <row r="1001" spans="2:6" ht="12.75" customHeight="1" x14ac:dyDescent="0.2">
      <c r="B1001" s="174"/>
      <c r="C1001" s="174"/>
      <c r="D1001" s="174"/>
      <c r="E1001" s="174"/>
      <c r="F1001" s="174"/>
    </row>
  </sheetData>
  <mergeCells count="10">
    <mergeCell ref="B16:F16"/>
    <mergeCell ref="C12:C13"/>
    <mergeCell ref="C14:C15"/>
    <mergeCell ref="B2:F2"/>
    <mergeCell ref="B4:D4"/>
    <mergeCell ref="B5:B9"/>
    <mergeCell ref="C5:C7"/>
    <mergeCell ref="C8:C9"/>
    <mergeCell ref="B10:B15"/>
    <mergeCell ref="C10:C11"/>
  </mergeCells>
  <pageMargins left="0.70866141732283472" right="0.70866141732283472" top="0.74803149606299213" bottom="0.74803149606299213" header="0" footer="0"/>
  <pageSetup orientation="landscape" r:id="rId1"/>
  <headerFooter>
    <oddHeader>&amp;L&amp;G&amp;C
MATRIZ DE RIESGOS</oddHeader>
    <oddFooter>&amp;RCódigo:E-02-F-014
Versión: 5 
Fecha: Ver Isolución</oddFooter>
  </headerFooter>
  <legacyDrawingHF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113"/>
  <sheetViews>
    <sheetView showGridLines="0" topLeftCell="E1" zoomScale="70" zoomScaleNormal="70" workbookViewId="0">
      <selection activeCell="P2" sqref="P2"/>
    </sheetView>
  </sheetViews>
  <sheetFormatPr baseColWidth="10" defaultColWidth="10" defaultRowHeight="12" x14ac:dyDescent="0.2"/>
  <cols>
    <col min="1" max="1" width="14.75" style="103" customWidth="1"/>
    <col min="2" max="2" width="4.125" style="103" customWidth="1"/>
    <col min="3" max="3" width="10.375" style="103" bestFit="1" customWidth="1"/>
    <col min="4" max="5" width="36.375" style="103" customWidth="1"/>
    <col min="6" max="6" width="3.125" style="103" customWidth="1"/>
    <col min="7" max="7" width="12.25" style="103" customWidth="1"/>
    <col min="8" max="8" width="16.375" style="103" customWidth="1"/>
    <col min="9" max="9" width="25.125" style="103" customWidth="1"/>
    <col min="10" max="10" width="29.125" style="103" customWidth="1"/>
    <col min="11" max="11" width="16.625" style="103" customWidth="1"/>
    <col min="12" max="12" width="8.625" style="103" bestFit="1" customWidth="1"/>
    <col min="13" max="13" width="25.125" style="103" customWidth="1"/>
    <col min="14" max="16384" width="10" style="103"/>
  </cols>
  <sheetData>
    <row r="1" spans="1:14" ht="24" x14ac:dyDescent="0.2">
      <c r="A1" s="102" t="s">
        <v>1904</v>
      </c>
      <c r="C1" s="102" t="s">
        <v>1905</v>
      </c>
      <c r="D1" s="102" t="s">
        <v>1906</v>
      </c>
      <c r="E1" s="102" t="s">
        <v>1907</v>
      </c>
      <c r="G1" s="102" t="s">
        <v>1908</v>
      </c>
      <c r="H1" s="102" t="s">
        <v>1909</v>
      </c>
      <c r="I1" s="102" t="s">
        <v>1906</v>
      </c>
      <c r="J1" s="102" t="s">
        <v>1907</v>
      </c>
      <c r="L1" s="102" t="s">
        <v>1910</v>
      </c>
      <c r="M1" s="102" t="s">
        <v>86</v>
      </c>
      <c r="N1" s="102" t="s">
        <v>1911</v>
      </c>
    </row>
    <row r="2" spans="1:14" ht="123.75" x14ac:dyDescent="0.2">
      <c r="A2" s="104" t="s">
        <v>1912</v>
      </c>
      <c r="C2" s="105" t="s">
        <v>342</v>
      </c>
      <c r="D2" s="76" t="s">
        <v>1913</v>
      </c>
      <c r="E2" s="76" t="s">
        <v>1914</v>
      </c>
      <c r="G2" s="105" t="s">
        <v>1308</v>
      </c>
      <c r="H2" s="105">
        <v>1</v>
      </c>
      <c r="I2" s="76" t="s">
        <v>1915</v>
      </c>
      <c r="J2" s="76" t="s">
        <v>1916</v>
      </c>
      <c r="L2" s="106" t="s">
        <v>183</v>
      </c>
      <c r="M2" s="105" t="s">
        <v>177</v>
      </c>
      <c r="N2" s="105" t="s">
        <v>1917</v>
      </c>
    </row>
    <row r="3" spans="1:14" ht="123.75" x14ac:dyDescent="0.2">
      <c r="A3" s="104" t="s">
        <v>1918</v>
      </c>
      <c r="C3" s="105" t="s">
        <v>281</v>
      </c>
      <c r="D3" s="76" t="s">
        <v>1919</v>
      </c>
      <c r="E3" s="76" t="s">
        <v>1920</v>
      </c>
      <c r="G3" s="105" t="s">
        <v>185</v>
      </c>
      <c r="H3" s="105">
        <v>2</v>
      </c>
      <c r="I3" s="76" t="s">
        <v>1921</v>
      </c>
      <c r="J3" s="76" t="s">
        <v>1922</v>
      </c>
      <c r="L3" s="106" t="s">
        <v>183</v>
      </c>
      <c r="M3" s="105" t="s">
        <v>254</v>
      </c>
      <c r="N3" s="105" t="s">
        <v>1923</v>
      </c>
    </row>
    <row r="4" spans="1:14" ht="135" x14ac:dyDescent="0.2">
      <c r="A4" s="104" t="s">
        <v>1924</v>
      </c>
      <c r="C4" s="105" t="s">
        <v>8</v>
      </c>
      <c r="D4" s="76" t="s">
        <v>1925</v>
      </c>
      <c r="E4" s="76" t="s">
        <v>1926</v>
      </c>
      <c r="G4" s="105" t="s">
        <v>8</v>
      </c>
      <c r="H4" s="105">
        <v>3</v>
      </c>
      <c r="I4" s="76" t="s">
        <v>1927</v>
      </c>
      <c r="J4" s="76" t="s">
        <v>1928</v>
      </c>
      <c r="L4" s="106" t="s">
        <v>183</v>
      </c>
      <c r="M4" s="105" t="s">
        <v>345</v>
      </c>
      <c r="N4" s="105" t="s">
        <v>1929</v>
      </c>
    </row>
    <row r="5" spans="1:14" ht="123.75" x14ac:dyDescent="0.2">
      <c r="C5" s="105" t="s">
        <v>185</v>
      </c>
      <c r="D5" s="76" t="s">
        <v>1930</v>
      </c>
      <c r="E5" s="76" t="s">
        <v>1931</v>
      </c>
      <c r="G5" s="105" t="s">
        <v>281</v>
      </c>
      <c r="H5" s="105">
        <v>4</v>
      </c>
      <c r="I5" s="76" t="s">
        <v>1932</v>
      </c>
      <c r="J5" s="76" t="s">
        <v>1933</v>
      </c>
      <c r="L5" s="106" t="s">
        <v>183</v>
      </c>
      <c r="M5" s="105" t="s">
        <v>383</v>
      </c>
      <c r="N5" s="105" t="s">
        <v>1934</v>
      </c>
    </row>
    <row r="6" spans="1:14" ht="123.75" x14ac:dyDescent="0.2">
      <c r="C6" s="105" t="s">
        <v>1308</v>
      </c>
      <c r="D6" s="76" t="s">
        <v>1935</v>
      </c>
      <c r="E6" s="76" t="s">
        <v>1936</v>
      </c>
      <c r="G6" s="105" t="s">
        <v>342</v>
      </c>
      <c r="H6" s="105">
        <v>5</v>
      </c>
      <c r="I6" s="76" t="s">
        <v>1937</v>
      </c>
      <c r="J6" s="76" t="s">
        <v>1938</v>
      </c>
      <c r="L6" s="106" t="s">
        <v>183</v>
      </c>
      <c r="M6" s="105" t="s">
        <v>992</v>
      </c>
      <c r="N6" s="105" t="s">
        <v>1939</v>
      </c>
    </row>
    <row r="7" spans="1:14" ht="36" x14ac:dyDescent="0.2">
      <c r="L7" s="106" t="s">
        <v>1940</v>
      </c>
      <c r="M7" s="105" t="s">
        <v>404</v>
      </c>
      <c r="N7" s="105" t="s">
        <v>1941</v>
      </c>
    </row>
    <row r="8" spans="1:14" ht="36" x14ac:dyDescent="0.2">
      <c r="A8" s="102" t="s">
        <v>1912</v>
      </c>
      <c r="L8" s="106" t="s">
        <v>1940</v>
      </c>
      <c r="M8" s="105" t="s">
        <v>704</v>
      </c>
      <c r="N8" s="105" t="s">
        <v>1942</v>
      </c>
    </row>
    <row r="9" spans="1:14" ht="48" x14ac:dyDescent="0.2">
      <c r="A9" s="104" t="s">
        <v>1943</v>
      </c>
      <c r="C9" s="937" t="s">
        <v>1944</v>
      </c>
      <c r="D9" s="937"/>
      <c r="E9" s="937"/>
      <c r="L9" s="106" t="s">
        <v>1940</v>
      </c>
      <c r="M9" s="105" t="s">
        <v>561</v>
      </c>
      <c r="N9" s="105" t="s">
        <v>1945</v>
      </c>
    </row>
    <row r="10" spans="1:14" ht="24" x14ac:dyDescent="0.2">
      <c r="A10" s="104" t="s">
        <v>1946</v>
      </c>
      <c r="C10" s="102" t="s">
        <v>1947</v>
      </c>
      <c r="D10" s="102" t="s">
        <v>1948</v>
      </c>
      <c r="E10" s="102" t="s">
        <v>1949</v>
      </c>
      <c r="G10" s="102" t="s">
        <v>1950</v>
      </c>
      <c r="H10" s="102" t="s">
        <v>1951</v>
      </c>
      <c r="I10" s="102" t="s">
        <v>1312</v>
      </c>
      <c r="J10" s="102" t="s">
        <v>174</v>
      </c>
      <c r="L10" s="106" t="s">
        <v>1940</v>
      </c>
      <c r="M10" s="105" t="s">
        <v>521</v>
      </c>
      <c r="N10" s="105" t="s">
        <v>1952</v>
      </c>
    </row>
    <row r="11" spans="1:14" ht="24" x14ac:dyDescent="0.2">
      <c r="A11" s="104" t="s">
        <v>1953</v>
      </c>
      <c r="C11" s="105">
        <v>1</v>
      </c>
      <c r="D11" s="105" t="s">
        <v>1954</v>
      </c>
      <c r="E11" s="106" t="s">
        <v>1426</v>
      </c>
      <c r="G11" s="104" t="s">
        <v>1302</v>
      </c>
      <c r="H11" s="105">
        <v>5</v>
      </c>
      <c r="I11" s="77" t="s">
        <v>1955</v>
      </c>
      <c r="J11" s="77" t="s">
        <v>1956</v>
      </c>
      <c r="L11" s="106" t="s">
        <v>1940</v>
      </c>
      <c r="M11" s="105" t="s">
        <v>631</v>
      </c>
      <c r="N11" s="105" t="s">
        <v>1957</v>
      </c>
    </row>
    <row r="12" spans="1:14" ht="24" x14ac:dyDescent="0.2">
      <c r="A12" s="104" t="s">
        <v>768</v>
      </c>
      <c r="C12" s="105">
        <v>2</v>
      </c>
      <c r="D12" s="105" t="s">
        <v>1958</v>
      </c>
      <c r="E12" s="106" t="s">
        <v>1425</v>
      </c>
      <c r="G12" s="104" t="s">
        <v>1303</v>
      </c>
      <c r="H12" s="105">
        <v>4</v>
      </c>
      <c r="I12" s="77" t="s">
        <v>1959</v>
      </c>
      <c r="J12" s="77" t="s">
        <v>1960</v>
      </c>
      <c r="L12" s="106" t="s">
        <v>1940</v>
      </c>
      <c r="M12" s="105" t="s">
        <v>722</v>
      </c>
      <c r="N12" s="105" t="s">
        <v>1961</v>
      </c>
    </row>
    <row r="13" spans="1:14" ht="36" x14ac:dyDescent="0.2">
      <c r="A13" s="104" t="s">
        <v>1962</v>
      </c>
      <c r="C13" s="105">
        <v>3</v>
      </c>
      <c r="D13" s="105" t="s">
        <v>1963</v>
      </c>
      <c r="E13" s="106" t="s">
        <v>1426</v>
      </c>
      <c r="G13" s="104" t="s">
        <v>1304</v>
      </c>
      <c r="H13" s="105">
        <v>3</v>
      </c>
      <c r="I13" s="77" t="s">
        <v>1964</v>
      </c>
      <c r="J13" s="77" t="s">
        <v>1965</v>
      </c>
      <c r="L13" s="106" t="s">
        <v>1940</v>
      </c>
      <c r="M13" s="105" t="s">
        <v>539</v>
      </c>
      <c r="N13" s="105" t="s">
        <v>1966</v>
      </c>
    </row>
    <row r="14" spans="1:14" ht="36" x14ac:dyDescent="0.2">
      <c r="A14" s="104" t="s">
        <v>1967</v>
      </c>
      <c r="C14" s="105">
        <v>4</v>
      </c>
      <c r="D14" s="105" t="s">
        <v>1968</v>
      </c>
      <c r="E14" s="106" t="s">
        <v>1426</v>
      </c>
      <c r="G14" s="104" t="s">
        <v>1306</v>
      </c>
      <c r="H14" s="105">
        <v>2</v>
      </c>
      <c r="I14" s="77" t="s">
        <v>1969</v>
      </c>
      <c r="J14" s="77" t="s">
        <v>1970</v>
      </c>
      <c r="L14" s="106" t="s">
        <v>1940</v>
      </c>
      <c r="M14" s="105" t="s">
        <v>482</v>
      </c>
      <c r="N14" s="105" t="s">
        <v>1971</v>
      </c>
    </row>
    <row r="15" spans="1:14" ht="33.75" x14ac:dyDescent="0.2">
      <c r="C15" s="105">
        <v>5</v>
      </c>
      <c r="D15" s="105" t="s">
        <v>1972</v>
      </c>
      <c r="E15" s="106" t="s">
        <v>1426</v>
      </c>
      <c r="G15" s="104" t="s">
        <v>1307</v>
      </c>
      <c r="H15" s="105">
        <v>1</v>
      </c>
      <c r="I15" s="77" t="s">
        <v>1973</v>
      </c>
      <c r="J15" s="77" t="s">
        <v>1974</v>
      </c>
      <c r="L15" s="106" t="s">
        <v>1975</v>
      </c>
      <c r="M15" s="105" t="s">
        <v>756</v>
      </c>
      <c r="N15" s="105" t="s">
        <v>1976</v>
      </c>
    </row>
    <row r="16" spans="1:14" ht="24" x14ac:dyDescent="0.2">
      <c r="C16" s="105">
        <v>6</v>
      </c>
      <c r="D16" s="105" t="s">
        <v>1977</v>
      </c>
      <c r="E16" s="106" t="s">
        <v>1426</v>
      </c>
      <c r="L16" s="106" t="s">
        <v>1975</v>
      </c>
      <c r="M16" s="105" t="s">
        <v>783</v>
      </c>
      <c r="N16" s="105" t="s">
        <v>1978</v>
      </c>
    </row>
    <row r="17" spans="1:14" ht="24" x14ac:dyDescent="0.2">
      <c r="C17" s="105">
        <v>7</v>
      </c>
      <c r="D17" s="105" t="s">
        <v>1979</v>
      </c>
      <c r="E17" s="106" t="s">
        <v>1426</v>
      </c>
      <c r="L17" s="106" t="s">
        <v>1975</v>
      </c>
      <c r="M17" s="105" t="s">
        <v>794</v>
      </c>
      <c r="N17" s="105" t="s">
        <v>1980</v>
      </c>
    </row>
    <row r="18" spans="1:14" ht="36" x14ac:dyDescent="0.2">
      <c r="A18" s="102" t="s">
        <v>1918</v>
      </c>
      <c r="C18" s="105">
        <v>8</v>
      </c>
      <c r="D18" s="105" t="s">
        <v>1981</v>
      </c>
      <c r="E18" s="106" t="s">
        <v>1426</v>
      </c>
      <c r="G18" s="107" t="s">
        <v>1982</v>
      </c>
      <c r="H18" s="105" t="s">
        <v>1983</v>
      </c>
      <c r="L18" s="106" t="s">
        <v>1975</v>
      </c>
      <c r="M18" s="105" t="s">
        <v>811</v>
      </c>
      <c r="N18" s="105" t="s">
        <v>1984</v>
      </c>
    </row>
    <row r="19" spans="1:14" ht="24" x14ac:dyDescent="0.2">
      <c r="A19" s="104" t="s">
        <v>760</v>
      </c>
      <c r="C19" s="105">
        <v>9</v>
      </c>
      <c r="D19" s="105" t="s">
        <v>1985</v>
      </c>
      <c r="E19" s="106" t="s">
        <v>1426</v>
      </c>
      <c r="L19" s="106" t="s">
        <v>1975</v>
      </c>
      <c r="M19" s="105" t="s">
        <v>842</v>
      </c>
      <c r="N19" s="105" t="s">
        <v>1986</v>
      </c>
    </row>
    <row r="20" spans="1:14" ht="24" x14ac:dyDescent="0.2">
      <c r="A20" s="104" t="s">
        <v>1987</v>
      </c>
      <c r="C20" s="105">
        <v>10</v>
      </c>
      <c r="D20" s="105" t="s">
        <v>1988</v>
      </c>
      <c r="E20" s="106" t="s">
        <v>1426</v>
      </c>
      <c r="G20" s="107" t="s">
        <v>1989</v>
      </c>
      <c r="H20" s="104">
        <f>COUNTA(#REF!)</f>
        <v>1</v>
      </c>
      <c r="L20" s="106" t="s">
        <v>1975</v>
      </c>
      <c r="M20" s="105" t="s">
        <v>873</v>
      </c>
      <c r="N20" s="105" t="s">
        <v>1990</v>
      </c>
    </row>
    <row r="21" spans="1:14" ht="36" x14ac:dyDescent="0.2">
      <c r="A21" s="104" t="s">
        <v>86</v>
      </c>
      <c r="C21" s="105">
        <v>11</v>
      </c>
      <c r="D21" s="105" t="s">
        <v>1991</v>
      </c>
      <c r="E21" s="106" t="s">
        <v>1426</v>
      </c>
      <c r="G21" s="107" t="s">
        <v>1992</v>
      </c>
      <c r="H21" s="104">
        <f>COUNTA(#REF!)</f>
        <v>1</v>
      </c>
      <c r="L21" s="106" t="s">
        <v>1975</v>
      </c>
      <c r="M21" s="105" t="s">
        <v>882</v>
      </c>
      <c r="N21" s="105" t="s">
        <v>1993</v>
      </c>
    </row>
    <row r="22" spans="1:14" ht="24" x14ac:dyDescent="0.2">
      <c r="A22" s="104" t="s">
        <v>1994</v>
      </c>
      <c r="C22" s="105">
        <v>12</v>
      </c>
      <c r="D22" s="105" t="s">
        <v>1995</v>
      </c>
      <c r="E22" s="106" t="s">
        <v>1425</v>
      </c>
      <c r="L22" s="106" t="s">
        <v>1975</v>
      </c>
      <c r="M22" s="105" t="s">
        <v>906</v>
      </c>
      <c r="N22" s="105" t="s">
        <v>1996</v>
      </c>
    </row>
    <row r="23" spans="1:14" ht="48" x14ac:dyDescent="0.2">
      <c r="A23" s="104" t="s">
        <v>183</v>
      </c>
      <c r="C23" s="105">
        <v>13</v>
      </c>
      <c r="D23" s="105" t="s">
        <v>1997</v>
      </c>
      <c r="E23" s="106" t="s">
        <v>1426</v>
      </c>
      <c r="L23" s="106" t="s">
        <v>1339</v>
      </c>
      <c r="M23" s="105" t="s">
        <v>965</v>
      </c>
      <c r="N23" s="105" t="s">
        <v>1998</v>
      </c>
    </row>
    <row r="24" spans="1:14" ht="24" x14ac:dyDescent="0.2">
      <c r="A24" s="104" t="s">
        <v>1999</v>
      </c>
      <c r="C24" s="105">
        <v>14</v>
      </c>
      <c r="D24" s="105" t="s">
        <v>2000</v>
      </c>
      <c r="E24" s="106" t="s">
        <v>1426</v>
      </c>
      <c r="L24" s="106"/>
      <c r="M24" s="105" t="s">
        <v>2001</v>
      </c>
      <c r="N24" s="105" t="s">
        <v>2002</v>
      </c>
    </row>
    <row r="25" spans="1:14" x14ac:dyDescent="0.2">
      <c r="A25" s="104" t="s">
        <v>2003</v>
      </c>
      <c r="C25" s="105">
        <v>15</v>
      </c>
      <c r="D25" s="105" t="s">
        <v>2004</v>
      </c>
      <c r="E25" s="106" t="s">
        <v>1426</v>
      </c>
    </row>
    <row r="26" spans="1:14" ht="24" x14ac:dyDescent="0.2">
      <c r="C26" s="105">
        <v>16</v>
      </c>
      <c r="D26" s="108" t="s">
        <v>2005</v>
      </c>
      <c r="E26" s="106" t="s">
        <v>1426</v>
      </c>
      <c r="G26" s="935" t="s">
        <v>2006</v>
      </c>
      <c r="H26" s="935"/>
      <c r="I26" s="935"/>
      <c r="J26" s="935"/>
      <c r="K26" s="935"/>
    </row>
    <row r="27" spans="1:14" ht="48" x14ac:dyDescent="0.2">
      <c r="C27" s="105">
        <v>17</v>
      </c>
      <c r="D27" s="105" t="s">
        <v>2007</v>
      </c>
      <c r="E27" s="106" t="s">
        <v>1426</v>
      </c>
      <c r="G27" s="109" t="s">
        <v>2008</v>
      </c>
      <c r="H27" s="109" t="s">
        <v>2009</v>
      </c>
      <c r="I27" s="109" t="s">
        <v>2010</v>
      </c>
      <c r="J27" s="109" t="s">
        <v>2011</v>
      </c>
      <c r="K27" s="109" t="s">
        <v>2012</v>
      </c>
    </row>
    <row r="28" spans="1:14" x14ac:dyDescent="0.2">
      <c r="A28" s="102" t="s">
        <v>1924</v>
      </c>
      <c r="C28" s="105">
        <v>18</v>
      </c>
      <c r="D28" s="105" t="s">
        <v>2013</v>
      </c>
      <c r="E28" s="106" t="s">
        <v>1426</v>
      </c>
      <c r="G28" s="105" t="s">
        <v>1499</v>
      </c>
      <c r="H28" s="105" t="s">
        <v>1500</v>
      </c>
      <c r="I28" s="105" t="s">
        <v>1500</v>
      </c>
      <c r="J28" s="105">
        <v>2</v>
      </c>
      <c r="K28" s="105">
        <v>2</v>
      </c>
    </row>
    <row r="29" spans="1:14" x14ac:dyDescent="0.2">
      <c r="A29" s="104" t="s">
        <v>2014</v>
      </c>
      <c r="C29" s="105">
        <v>19</v>
      </c>
      <c r="D29" s="105" t="s">
        <v>2015</v>
      </c>
      <c r="E29" s="106" t="s">
        <v>1425</v>
      </c>
      <c r="G29" s="105" t="s">
        <v>1499</v>
      </c>
      <c r="H29" s="105" t="s">
        <v>1500</v>
      </c>
      <c r="I29" s="105" t="s">
        <v>1652</v>
      </c>
      <c r="J29" s="105">
        <v>2</v>
      </c>
      <c r="K29" s="105">
        <v>1</v>
      </c>
    </row>
    <row r="30" spans="1:14" ht="24" x14ac:dyDescent="0.2">
      <c r="A30" s="104" t="s">
        <v>2016</v>
      </c>
      <c r="C30" s="105" t="s">
        <v>1421</v>
      </c>
      <c r="D30" s="104">
        <f>COUNTIF(E11:E29,"SI")</f>
        <v>3</v>
      </c>
      <c r="E30" s="110" t="str">
        <f>IF(COUNTBLANK(E11:E29)&gt;0,"Diligenciar todas las preguntas",IF(E26="SI",$C$2,IF(D30&lt;6,$C$4,IF(AND(D30&gt;5,D30&lt;12),$C$3,IF(AND(D30&gt;11,D30&lt;20),$C$2,"Revisar fórmula")))))</f>
        <v>Moderado</v>
      </c>
      <c r="G30" s="105" t="s">
        <v>1499</v>
      </c>
      <c r="H30" s="105" t="s">
        <v>1500</v>
      </c>
      <c r="I30" s="105" t="s">
        <v>1657</v>
      </c>
      <c r="J30" s="105">
        <v>2</v>
      </c>
      <c r="K30" s="105">
        <v>0</v>
      </c>
    </row>
    <row r="31" spans="1:14" x14ac:dyDescent="0.2">
      <c r="A31" s="104" t="s">
        <v>2017</v>
      </c>
      <c r="G31" s="105" t="s">
        <v>1499</v>
      </c>
      <c r="H31" s="105" t="s">
        <v>1657</v>
      </c>
      <c r="I31" s="105" t="s">
        <v>1500</v>
      </c>
      <c r="J31" s="105">
        <v>0</v>
      </c>
      <c r="K31" s="105">
        <v>2</v>
      </c>
    </row>
    <row r="32" spans="1:14" ht="24" x14ac:dyDescent="0.2">
      <c r="A32" s="104" t="s">
        <v>2018</v>
      </c>
      <c r="C32" s="102" t="s">
        <v>2019</v>
      </c>
      <c r="D32" s="102" t="s">
        <v>2020</v>
      </c>
      <c r="E32" s="102" t="s">
        <v>2021</v>
      </c>
      <c r="G32" s="105" t="s">
        <v>8</v>
      </c>
      <c r="H32" s="105" t="s">
        <v>1500</v>
      </c>
      <c r="I32" s="105" t="s">
        <v>1500</v>
      </c>
      <c r="J32" s="105">
        <v>1</v>
      </c>
      <c r="K32" s="105">
        <v>1</v>
      </c>
    </row>
    <row r="33" spans="1:11" ht="24" x14ac:dyDescent="0.2">
      <c r="A33" s="104" t="s">
        <v>2022</v>
      </c>
      <c r="C33" s="104" t="s">
        <v>1499</v>
      </c>
      <c r="D33" s="104" t="s">
        <v>2023</v>
      </c>
      <c r="E33" s="104">
        <v>100</v>
      </c>
      <c r="G33" s="105" t="s">
        <v>8</v>
      </c>
      <c r="H33" s="105" t="s">
        <v>1500</v>
      </c>
      <c r="I33" s="105" t="s">
        <v>1652</v>
      </c>
      <c r="J33" s="105">
        <v>1</v>
      </c>
      <c r="K33" s="105">
        <v>0</v>
      </c>
    </row>
    <row r="34" spans="1:11" ht="24" x14ac:dyDescent="0.2">
      <c r="A34" s="104" t="s">
        <v>2024</v>
      </c>
      <c r="C34" s="104" t="s">
        <v>8</v>
      </c>
      <c r="D34" s="104" t="s">
        <v>2025</v>
      </c>
      <c r="E34" s="104">
        <v>50</v>
      </c>
      <c r="G34" s="105" t="s">
        <v>8</v>
      </c>
      <c r="H34" s="105" t="s">
        <v>1500</v>
      </c>
      <c r="I34" s="105" t="s">
        <v>1657</v>
      </c>
      <c r="J34" s="105">
        <v>1</v>
      </c>
      <c r="K34" s="105">
        <v>0</v>
      </c>
    </row>
    <row r="35" spans="1:11" ht="24" x14ac:dyDescent="0.2">
      <c r="A35" s="104" t="s">
        <v>2026</v>
      </c>
      <c r="C35" s="104" t="s">
        <v>2027</v>
      </c>
      <c r="D35" s="104" t="s">
        <v>2028</v>
      </c>
      <c r="E35" s="104">
        <v>0</v>
      </c>
      <c r="G35" s="105" t="s">
        <v>8</v>
      </c>
      <c r="H35" s="105" t="s">
        <v>1657</v>
      </c>
      <c r="I35" s="105" t="s">
        <v>1500</v>
      </c>
      <c r="J35" s="105">
        <v>0</v>
      </c>
      <c r="K35" s="105">
        <v>1</v>
      </c>
    </row>
    <row r="38" spans="1:11" x14ac:dyDescent="0.2">
      <c r="G38" s="935" t="s">
        <v>2008</v>
      </c>
      <c r="H38" s="935"/>
      <c r="I38" s="935"/>
      <c r="J38" s="935"/>
      <c r="K38" s="935"/>
    </row>
    <row r="39" spans="1:11" x14ac:dyDescent="0.2">
      <c r="A39" s="102" t="s">
        <v>2029</v>
      </c>
      <c r="D39" s="102" t="s">
        <v>2030</v>
      </c>
      <c r="E39" s="102" t="s">
        <v>2031</v>
      </c>
      <c r="G39" s="105" t="s">
        <v>1499</v>
      </c>
      <c r="H39" s="936" t="s">
        <v>2032</v>
      </c>
      <c r="I39" s="936"/>
      <c r="J39" s="936"/>
      <c r="K39" s="936"/>
    </row>
    <row r="40" spans="1:11" x14ac:dyDescent="0.2">
      <c r="A40" s="104" t="s">
        <v>1484</v>
      </c>
      <c r="D40" s="105">
        <v>11</v>
      </c>
      <c r="E40" s="105" t="s">
        <v>10</v>
      </c>
      <c r="G40" s="105" t="s">
        <v>8</v>
      </c>
      <c r="H40" s="936" t="s">
        <v>2033</v>
      </c>
      <c r="I40" s="936"/>
      <c r="J40" s="936"/>
      <c r="K40" s="936"/>
    </row>
    <row r="41" spans="1:11" x14ac:dyDescent="0.2">
      <c r="A41" s="104"/>
      <c r="D41" s="105">
        <v>12</v>
      </c>
      <c r="E41" s="105" t="s">
        <v>10</v>
      </c>
      <c r="G41" s="105" t="s">
        <v>2027</v>
      </c>
      <c r="H41" s="936" t="s">
        <v>2034</v>
      </c>
      <c r="I41" s="936"/>
      <c r="J41" s="936"/>
      <c r="K41" s="936"/>
    </row>
    <row r="42" spans="1:11" x14ac:dyDescent="0.2">
      <c r="A42" s="104"/>
      <c r="D42" s="105">
        <v>13</v>
      </c>
      <c r="E42" s="105" t="s">
        <v>10</v>
      </c>
    </row>
    <row r="43" spans="1:11" x14ac:dyDescent="0.2">
      <c r="A43" s="104"/>
      <c r="D43" s="105">
        <v>14</v>
      </c>
      <c r="E43" s="105" t="s">
        <v>8</v>
      </c>
    </row>
    <row r="44" spans="1:11" ht="30" customHeight="1" x14ac:dyDescent="0.2">
      <c r="A44" s="104"/>
      <c r="D44" s="105">
        <v>15</v>
      </c>
      <c r="E44" s="105" t="s">
        <v>6</v>
      </c>
      <c r="G44" s="935" t="s">
        <v>2035</v>
      </c>
      <c r="H44" s="935"/>
      <c r="I44" s="935"/>
    </row>
    <row r="45" spans="1:11" ht="28.5" customHeight="1" x14ac:dyDescent="0.2">
      <c r="A45" s="104"/>
      <c r="D45" s="105">
        <v>21</v>
      </c>
      <c r="E45" s="105" t="s">
        <v>10</v>
      </c>
      <c r="G45" s="109" t="s">
        <v>2036</v>
      </c>
      <c r="H45" s="109" t="s">
        <v>2037</v>
      </c>
      <c r="I45" s="109" t="s">
        <v>2038</v>
      </c>
    </row>
    <row r="46" spans="1:11" ht="24" customHeight="1" x14ac:dyDescent="0.2">
      <c r="A46" s="104"/>
      <c r="D46" s="105">
        <v>22</v>
      </c>
      <c r="E46" s="105" t="s">
        <v>10</v>
      </c>
      <c r="G46" s="932" t="s">
        <v>2039</v>
      </c>
      <c r="H46" s="105" t="s">
        <v>1492</v>
      </c>
      <c r="I46" s="105">
        <v>15</v>
      </c>
    </row>
    <row r="47" spans="1:11" x14ac:dyDescent="0.2">
      <c r="D47" s="105">
        <v>23</v>
      </c>
      <c r="E47" s="105" t="s">
        <v>8</v>
      </c>
      <c r="G47" s="934"/>
      <c r="H47" s="105" t="s">
        <v>2040</v>
      </c>
      <c r="I47" s="105">
        <v>0</v>
      </c>
    </row>
    <row r="48" spans="1:11" ht="36" customHeight="1" x14ac:dyDescent="0.2">
      <c r="A48" s="104"/>
      <c r="D48" s="105">
        <v>24</v>
      </c>
      <c r="E48" s="105" t="s">
        <v>6</v>
      </c>
      <c r="G48" s="932" t="s">
        <v>2041</v>
      </c>
      <c r="H48" s="105" t="s">
        <v>1493</v>
      </c>
      <c r="I48" s="105">
        <v>15</v>
      </c>
    </row>
    <row r="49" spans="1:9" x14ac:dyDescent="0.2">
      <c r="A49" s="104"/>
      <c r="D49" s="105">
        <v>25</v>
      </c>
      <c r="E49" s="105" t="s">
        <v>6</v>
      </c>
      <c r="G49" s="934"/>
      <c r="H49" s="105" t="s">
        <v>2042</v>
      </c>
      <c r="I49" s="105">
        <v>0</v>
      </c>
    </row>
    <row r="50" spans="1:9" x14ac:dyDescent="0.2">
      <c r="A50" s="104"/>
      <c r="D50" s="105">
        <v>31</v>
      </c>
      <c r="E50" s="105" t="s">
        <v>8</v>
      </c>
      <c r="G50" s="932" t="s">
        <v>2043</v>
      </c>
      <c r="H50" s="105" t="s">
        <v>1494</v>
      </c>
      <c r="I50" s="105">
        <v>15</v>
      </c>
    </row>
    <row r="51" spans="1:9" x14ac:dyDescent="0.2">
      <c r="A51" s="104"/>
      <c r="D51" s="105">
        <v>32</v>
      </c>
      <c r="E51" s="105" t="s">
        <v>8</v>
      </c>
      <c r="G51" s="934"/>
      <c r="H51" s="105" t="s">
        <v>2044</v>
      </c>
      <c r="I51" s="105">
        <v>0</v>
      </c>
    </row>
    <row r="52" spans="1:9" x14ac:dyDescent="0.2">
      <c r="D52" s="105">
        <v>33</v>
      </c>
      <c r="E52" s="105" t="s">
        <v>6</v>
      </c>
      <c r="G52" s="932" t="s">
        <v>2045</v>
      </c>
      <c r="H52" s="105" t="s">
        <v>1495</v>
      </c>
      <c r="I52" s="105">
        <v>15</v>
      </c>
    </row>
    <row r="53" spans="1:9" x14ac:dyDescent="0.2">
      <c r="A53" s="102" t="s">
        <v>2046</v>
      </c>
      <c r="D53" s="105">
        <v>34</v>
      </c>
      <c r="E53" s="105" t="s">
        <v>6</v>
      </c>
      <c r="G53" s="933"/>
      <c r="H53" s="105" t="s">
        <v>1548</v>
      </c>
      <c r="I53" s="105">
        <v>10</v>
      </c>
    </row>
    <row r="54" spans="1:9" x14ac:dyDescent="0.2">
      <c r="A54" s="104" t="s">
        <v>183</v>
      </c>
      <c r="D54" s="105">
        <v>35</v>
      </c>
      <c r="E54" s="105" t="s">
        <v>4</v>
      </c>
      <c r="G54" s="934"/>
      <c r="H54" s="105" t="s">
        <v>2047</v>
      </c>
      <c r="I54" s="105">
        <v>0</v>
      </c>
    </row>
    <row r="55" spans="1:9" ht="48" customHeight="1" x14ac:dyDescent="0.2">
      <c r="A55" s="104" t="s">
        <v>1940</v>
      </c>
      <c r="D55" s="105">
        <v>41</v>
      </c>
      <c r="E55" s="105" t="s">
        <v>6</v>
      </c>
      <c r="G55" s="932" t="s">
        <v>2048</v>
      </c>
      <c r="H55" s="105" t="s">
        <v>1496</v>
      </c>
      <c r="I55" s="105">
        <v>15</v>
      </c>
    </row>
    <row r="56" spans="1:9" x14ac:dyDescent="0.2">
      <c r="A56" s="104" t="s">
        <v>1975</v>
      </c>
      <c r="D56" s="105">
        <v>42</v>
      </c>
      <c r="E56" s="105" t="s">
        <v>6</v>
      </c>
      <c r="G56" s="934"/>
      <c r="H56" s="105" t="s">
        <v>2049</v>
      </c>
      <c r="I56" s="105">
        <v>0</v>
      </c>
    </row>
    <row r="57" spans="1:9" ht="48" customHeight="1" x14ac:dyDescent="0.2">
      <c r="A57" s="104" t="s">
        <v>1339</v>
      </c>
      <c r="D57" s="105">
        <v>43</v>
      </c>
      <c r="E57" s="105" t="s">
        <v>4</v>
      </c>
      <c r="G57" s="932" t="s">
        <v>2050</v>
      </c>
      <c r="H57" s="105" t="s">
        <v>1497</v>
      </c>
      <c r="I57" s="105">
        <v>15</v>
      </c>
    </row>
    <row r="58" spans="1:9" ht="36" x14ac:dyDescent="0.2">
      <c r="D58" s="105">
        <v>44</v>
      </c>
      <c r="E58" s="105" t="s">
        <v>4</v>
      </c>
      <c r="G58" s="934"/>
      <c r="H58" s="105" t="s">
        <v>1628</v>
      </c>
      <c r="I58" s="105">
        <v>0</v>
      </c>
    </row>
    <row r="59" spans="1:9" ht="36" customHeight="1" x14ac:dyDescent="0.2">
      <c r="D59" s="105">
        <v>45</v>
      </c>
      <c r="E59" s="105" t="s">
        <v>4</v>
      </c>
      <c r="G59" s="932" t="s">
        <v>2051</v>
      </c>
      <c r="H59" s="105" t="s">
        <v>1498</v>
      </c>
      <c r="I59" s="105">
        <v>10</v>
      </c>
    </row>
    <row r="60" spans="1:9" x14ac:dyDescent="0.2">
      <c r="A60" s="102" t="s">
        <v>2052</v>
      </c>
      <c r="D60" s="105">
        <v>51</v>
      </c>
      <c r="E60" s="105" t="s">
        <v>4</v>
      </c>
      <c r="G60" s="933"/>
      <c r="H60" s="105" t="s">
        <v>2053</v>
      </c>
      <c r="I60" s="105">
        <v>5</v>
      </c>
    </row>
    <row r="61" spans="1:9" ht="48" x14ac:dyDescent="0.2">
      <c r="A61" s="104" t="s">
        <v>399</v>
      </c>
      <c r="D61" s="105">
        <v>52</v>
      </c>
      <c r="E61" s="105" t="s">
        <v>4</v>
      </c>
      <c r="G61" s="934"/>
      <c r="H61" s="105" t="s">
        <v>2054</v>
      </c>
      <c r="I61" s="105">
        <v>0</v>
      </c>
    </row>
    <row r="62" spans="1:9" ht="72" x14ac:dyDescent="0.2">
      <c r="A62" s="104" t="s">
        <v>196</v>
      </c>
      <c r="D62" s="105">
        <v>53</v>
      </c>
      <c r="E62" s="105" t="s">
        <v>4</v>
      </c>
    </row>
    <row r="63" spans="1:9" ht="24" customHeight="1" x14ac:dyDescent="0.2">
      <c r="D63" s="105">
        <v>54</v>
      </c>
      <c r="E63" s="105" t="s">
        <v>4</v>
      </c>
      <c r="G63" s="936" t="s">
        <v>2055</v>
      </c>
      <c r="H63" s="936"/>
      <c r="I63" s="105">
        <f>I46+I48+I50+I52+I55+I57+I59</f>
        <v>100</v>
      </c>
    </row>
    <row r="64" spans="1:9" ht="24" x14ac:dyDescent="0.2">
      <c r="A64" s="102" t="s">
        <v>1345</v>
      </c>
      <c r="B64" s="102" t="s">
        <v>2056</v>
      </c>
      <c r="D64" s="105">
        <v>55</v>
      </c>
      <c r="E64" s="105" t="s">
        <v>4</v>
      </c>
    </row>
    <row r="65" spans="1:10" x14ac:dyDescent="0.2">
      <c r="A65" s="104" t="s">
        <v>1492</v>
      </c>
      <c r="B65" s="104">
        <v>15</v>
      </c>
    </row>
    <row r="66" spans="1:10" ht="36" x14ac:dyDescent="0.2">
      <c r="A66" s="104" t="s">
        <v>2040</v>
      </c>
      <c r="B66" s="104">
        <v>0</v>
      </c>
      <c r="G66" s="109" t="s">
        <v>2057</v>
      </c>
      <c r="H66" s="109" t="s">
        <v>2058</v>
      </c>
    </row>
    <row r="67" spans="1:10" ht="24" x14ac:dyDescent="0.2">
      <c r="G67" s="105" t="s">
        <v>1499</v>
      </c>
      <c r="H67" s="105" t="s">
        <v>2059</v>
      </c>
    </row>
    <row r="68" spans="1:10" ht="36" x14ac:dyDescent="0.2">
      <c r="A68" s="102" t="s">
        <v>2060</v>
      </c>
      <c r="B68" s="102" t="s">
        <v>2056</v>
      </c>
      <c r="D68" s="103" t="s">
        <v>2061</v>
      </c>
      <c r="G68" s="105" t="s">
        <v>8</v>
      </c>
      <c r="H68" s="105" t="s">
        <v>2062</v>
      </c>
    </row>
    <row r="69" spans="1:10" ht="24" x14ac:dyDescent="0.2">
      <c r="A69" s="104" t="s">
        <v>1493</v>
      </c>
      <c r="B69" s="104">
        <v>15</v>
      </c>
      <c r="D69" s="103" t="s">
        <v>1425</v>
      </c>
      <c r="G69" s="105" t="s">
        <v>2027</v>
      </c>
      <c r="H69" s="105" t="s">
        <v>2063</v>
      </c>
    </row>
    <row r="70" spans="1:10" x14ac:dyDescent="0.2">
      <c r="A70" s="104" t="s">
        <v>2042</v>
      </c>
      <c r="B70" s="104">
        <v>0</v>
      </c>
      <c r="D70" s="103" t="s">
        <v>1426</v>
      </c>
    </row>
    <row r="72" spans="1:10" ht="60" x14ac:dyDescent="0.2">
      <c r="A72" s="102" t="s">
        <v>1349</v>
      </c>
      <c r="B72" s="102" t="s">
        <v>2056</v>
      </c>
      <c r="G72" s="109" t="s">
        <v>2064</v>
      </c>
      <c r="H72" s="109" t="s">
        <v>2065</v>
      </c>
      <c r="I72" s="109" t="s">
        <v>2066</v>
      </c>
      <c r="J72" s="109" t="s">
        <v>2067</v>
      </c>
    </row>
    <row r="73" spans="1:10" ht="36" customHeight="1" x14ac:dyDescent="0.2">
      <c r="A73" s="104" t="s">
        <v>1494</v>
      </c>
      <c r="B73" s="104">
        <v>15</v>
      </c>
      <c r="G73" s="932" t="s">
        <v>2068</v>
      </c>
      <c r="H73" s="105" t="s">
        <v>2069</v>
      </c>
      <c r="I73" s="105" t="s">
        <v>2070</v>
      </c>
      <c r="J73" s="105" t="s">
        <v>1847</v>
      </c>
    </row>
    <row r="74" spans="1:10" ht="24" x14ac:dyDescent="0.2">
      <c r="A74" s="104" t="s">
        <v>2044</v>
      </c>
      <c r="B74" s="104">
        <v>0</v>
      </c>
      <c r="G74" s="933"/>
      <c r="H74" s="105" t="s">
        <v>2071</v>
      </c>
      <c r="I74" s="105" t="s">
        <v>2072</v>
      </c>
      <c r="J74" s="105" t="s">
        <v>2073</v>
      </c>
    </row>
    <row r="75" spans="1:10" x14ac:dyDescent="0.2">
      <c r="G75" s="934"/>
      <c r="H75" s="105" t="s">
        <v>2074</v>
      </c>
      <c r="I75" s="105" t="s">
        <v>2075</v>
      </c>
      <c r="J75" s="105" t="s">
        <v>2073</v>
      </c>
    </row>
    <row r="76" spans="1:10" ht="36" customHeight="1" x14ac:dyDescent="0.2">
      <c r="A76" s="102" t="s">
        <v>1351</v>
      </c>
      <c r="B76" s="102" t="s">
        <v>2056</v>
      </c>
      <c r="G76" s="932" t="s">
        <v>2076</v>
      </c>
      <c r="H76" s="105" t="s">
        <v>2069</v>
      </c>
      <c r="I76" s="105" t="s">
        <v>2077</v>
      </c>
      <c r="J76" s="105" t="s">
        <v>2073</v>
      </c>
    </row>
    <row r="77" spans="1:10" ht="24" x14ac:dyDescent="0.2">
      <c r="A77" s="104" t="s">
        <v>1495</v>
      </c>
      <c r="B77" s="104">
        <v>15</v>
      </c>
      <c r="G77" s="933"/>
      <c r="H77" s="105" t="s">
        <v>2071</v>
      </c>
      <c r="I77" s="105" t="s">
        <v>2078</v>
      </c>
      <c r="J77" s="105" t="s">
        <v>2073</v>
      </c>
    </row>
    <row r="78" spans="1:10" x14ac:dyDescent="0.2">
      <c r="A78" s="104" t="s">
        <v>1548</v>
      </c>
      <c r="B78" s="104">
        <v>10</v>
      </c>
      <c r="G78" s="934"/>
      <c r="H78" s="105" t="s">
        <v>2074</v>
      </c>
      <c r="I78" s="105" t="s">
        <v>2079</v>
      </c>
      <c r="J78" s="105" t="s">
        <v>2073</v>
      </c>
    </row>
    <row r="79" spans="1:10" ht="36" customHeight="1" x14ac:dyDescent="0.2">
      <c r="A79" s="104" t="s">
        <v>2047</v>
      </c>
      <c r="B79" s="104">
        <v>0</v>
      </c>
      <c r="G79" s="932" t="s">
        <v>2080</v>
      </c>
      <c r="H79" s="105" t="s">
        <v>2069</v>
      </c>
      <c r="I79" s="105" t="s">
        <v>2081</v>
      </c>
      <c r="J79" s="105" t="s">
        <v>2073</v>
      </c>
    </row>
    <row r="80" spans="1:10" ht="24" x14ac:dyDescent="0.2">
      <c r="G80" s="933"/>
      <c r="H80" s="105" t="s">
        <v>2071</v>
      </c>
      <c r="I80" s="105" t="s">
        <v>2082</v>
      </c>
      <c r="J80" s="105" t="s">
        <v>2073</v>
      </c>
    </row>
    <row r="81" spans="1:10" ht="37.5" customHeight="1" x14ac:dyDescent="0.2">
      <c r="A81" s="102" t="s">
        <v>2083</v>
      </c>
      <c r="B81" s="102" t="s">
        <v>2056</v>
      </c>
      <c r="G81" s="934"/>
      <c r="H81" s="105" t="s">
        <v>2074</v>
      </c>
      <c r="I81" s="105" t="s">
        <v>2084</v>
      </c>
      <c r="J81" s="105" t="s">
        <v>2073</v>
      </c>
    </row>
    <row r="82" spans="1:10" x14ac:dyDescent="0.2">
      <c r="A82" s="104" t="s">
        <v>1496</v>
      </c>
      <c r="B82" s="104">
        <v>15</v>
      </c>
    </row>
    <row r="83" spans="1:10" x14ac:dyDescent="0.2">
      <c r="A83" s="104" t="s">
        <v>2049</v>
      </c>
      <c r="B83" s="104">
        <v>0</v>
      </c>
    </row>
    <row r="84" spans="1:10" ht="36" customHeight="1" x14ac:dyDescent="0.2"/>
    <row r="85" spans="1:10" ht="54" customHeight="1" x14ac:dyDescent="0.2">
      <c r="A85" s="102" t="s">
        <v>1355</v>
      </c>
      <c r="B85" s="102" t="s">
        <v>2056</v>
      </c>
    </row>
    <row r="86" spans="1:10" ht="36" x14ac:dyDescent="0.2">
      <c r="A86" s="104" t="s">
        <v>1497</v>
      </c>
      <c r="B86" s="104">
        <v>15</v>
      </c>
    </row>
    <row r="87" spans="1:10" ht="36" x14ac:dyDescent="0.2">
      <c r="A87" s="104" t="s">
        <v>1628</v>
      </c>
      <c r="B87" s="104">
        <v>0</v>
      </c>
    </row>
    <row r="89" spans="1:10" ht="36" customHeight="1" x14ac:dyDescent="0.2">
      <c r="A89" s="102" t="s">
        <v>2085</v>
      </c>
      <c r="B89" s="102" t="s">
        <v>2056</v>
      </c>
    </row>
    <row r="90" spans="1:10" x14ac:dyDescent="0.2">
      <c r="A90" s="104" t="s">
        <v>1498</v>
      </c>
      <c r="B90" s="104">
        <v>15</v>
      </c>
    </row>
    <row r="91" spans="1:10" x14ac:dyDescent="0.2">
      <c r="A91" s="104" t="s">
        <v>2053</v>
      </c>
      <c r="B91" s="104">
        <v>10</v>
      </c>
    </row>
    <row r="92" spans="1:10" x14ac:dyDescent="0.2">
      <c r="A92" s="104" t="s">
        <v>2054</v>
      </c>
      <c r="B92" s="104">
        <v>0</v>
      </c>
    </row>
    <row r="94" spans="1:10" x14ac:dyDescent="0.2">
      <c r="A94" s="102" t="s">
        <v>2086</v>
      </c>
    </row>
    <row r="95" spans="1:10" x14ac:dyDescent="0.2">
      <c r="A95" s="104" t="s">
        <v>187</v>
      </c>
    </row>
    <row r="96" spans="1:10" x14ac:dyDescent="0.2">
      <c r="A96" s="104" t="s">
        <v>228</v>
      </c>
    </row>
    <row r="98" spans="1:2" ht="24" x14ac:dyDescent="0.2">
      <c r="A98" s="102" t="s">
        <v>1337</v>
      </c>
    </row>
    <row r="99" spans="1:2" x14ac:dyDescent="0.2">
      <c r="A99" s="104" t="s">
        <v>296</v>
      </c>
    </row>
    <row r="100" spans="1:2" x14ac:dyDescent="0.2">
      <c r="A100" s="104" t="s">
        <v>975</v>
      </c>
    </row>
    <row r="101" spans="1:2" x14ac:dyDescent="0.2">
      <c r="A101" s="104" t="s">
        <v>2087</v>
      </c>
    </row>
    <row r="102" spans="1:2" x14ac:dyDescent="0.2">
      <c r="A102" s="104" t="s">
        <v>1490</v>
      </c>
    </row>
    <row r="104" spans="1:2" x14ac:dyDescent="0.2">
      <c r="A104" s="102" t="s">
        <v>2031</v>
      </c>
    </row>
    <row r="105" spans="1:2" x14ac:dyDescent="0.2">
      <c r="A105" s="104" t="s">
        <v>4</v>
      </c>
      <c r="B105" s="111"/>
    </row>
    <row r="106" spans="1:2" x14ac:dyDescent="0.2">
      <c r="A106" s="104" t="s">
        <v>6</v>
      </c>
      <c r="B106" s="112"/>
    </row>
    <row r="107" spans="1:2" x14ac:dyDescent="0.2">
      <c r="A107" s="104" t="s">
        <v>8</v>
      </c>
      <c r="B107" s="113"/>
    </row>
    <row r="108" spans="1:2" x14ac:dyDescent="0.2">
      <c r="A108" s="104" t="s">
        <v>10</v>
      </c>
      <c r="B108" s="114"/>
    </row>
    <row r="110" spans="1:2" x14ac:dyDescent="0.2">
      <c r="A110" s="102" t="s">
        <v>2088</v>
      </c>
    </row>
    <row r="111" spans="1:2" x14ac:dyDescent="0.2">
      <c r="A111" s="104" t="s">
        <v>1500</v>
      </c>
    </row>
    <row r="112" spans="1:2" x14ac:dyDescent="0.2">
      <c r="A112" s="104" t="s">
        <v>1657</v>
      </c>
    </row>
    <row r="113" spans="1:1" x14ac:dyDescent="0.2">
      <c r="A113" s="104" t="s">
        <v>1652</v>
      </c>
    </row>
  </sheetData>
  <mergeCells count="18">
    <mergeCell ref="H41:K41"/>
    <mergeCell ref="C9:E9"/>
    <mergeCell ref="G26:K26"/>
    <mergeCell ref="G38:K38"/>
    <mergeCell ref="H39:K39"/>
    <mergeCell ref="H40:K40"/>
    <mergeCell ref="G79:G81"/>
    <mergeCell ref="G44:I44"/>
    <mergeCell ref="G46:G47"/>
    <mergeCell ref="G48:G49"/>
    <mergeCell ref="G50:G51"/>
    <mergeCell ref="G52:G54"/>
    <mergeCell ref="G55:G56"/>
    <mergeCell ref="G57:G58"/>
    <mergeCell ref="G59:G61"/>
    <mergeCell ref="G63:H63"/>
    <mergeCell ref="G73:G75"/>
    <mergeCell ref="G76:G78"/>
  </mergeCells>
  <conditionalFormatting sqref="E40:E64">
    <cfRule type="cellIs" dxfId="108" priority="1" operator="equal">
      <formula>"Extremo"</formula>
    </cfRule>
    <cfRule type="cellIs" dxfId="107" priority="2" operator="equal">
      <formula>"Alto"</formula>
    </cfRule>
    <cfRule type="cellIs" dxfId="106" priority="3" operator="equal">
      <formula>"Moderado"</formula>
    </cfRule>
    <cfRule type="cellIs" dxfId="105" priority="4" operator="equal">
      <formula>"Bajo"</formula>
    </cfRule>
  </conditionalFormatting>
  <dataValidations count="3">
    <dataValidation type="list" allowBlank="1" showInputMessage="1" showErrorMessage="1" sqref="L2:L24" xr:uid="{00000000-0002-0000-0C00-000000000000}">
      <formula1>T_Proceso</formula1>
    </dataValidation>
    <dataValidation type="list" allowBlank="1" showInputMessage="1" showErrorMessage="1" sqref="E40:E64" xr:uid="{00000000-0002-0000-0C00-000001000000}">
      <formula1>Nivel_R</formula1>
    </dataValidation>
    <dataValidation type="list" allowBlank="1" showInputMessage="1" showErrorMessage="1" sqref="E11:E29" xr:uid="{00000000-0002-0000-0C00-000002000000}">
      <formula1>RespuestaC</formula1>
    </dataValidation>
  </dataValidations>
  <pageMargins left="0.70866141732283472" right="0.70866141732283472" top="0.74803149606299213" bottom="0.74803149606299213" header="0.31496062992125984" footer="0.31496062992125984"/>
  <pageSetup orientation="portrait" horizontalDpi="4294967294" verticalDpi="4294967294" r:id="rId1"/>
  <headerFooter>
    <oddHeader>&amp;L&amp;G&amp;C
MATRIZ DE RIESGOS</oddHeader>
    <oddFooter>&amp;RCódigo:E-02-F-014
Versión: 5 
Fecha: Ver Isolución</oddFooter>
  </headerFooter>
  <legacyDrawing r:id="rId2"/>
  <legacyDrawingHF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J1000"/>
  <sheetViews>
    <sheetView topLeftCell="C2" zoomScale="85" zoomScaleNormal="85" workbookViewId="0">
      <selection activeCell="D46" sqref="D46"/>
    </sheetView>
  </sheetViews>
  <sheetFormatPr baseColWidth="10" defaultColWidth="12.625" defaultRowHeight="15" customHeight="1" x14ac:dyDescent="0.2"/>
  <cols>
    <col min="1" max="2" width="9.375" customWidth="1"/>
    <col min="3" max="3" width="33.75" customWidth="1"/>
    <col min="4" max="4" width="51.375" customWidth="1"/>
    <col min="5" max="5" width="33.75" customWidth="1"/>
    <col min="6" max="6" width="9.375" customWidth="1"/>
    <col min="7" max="7" width="12" customWidth="1"/>
    <col min="8" max="8" width="20.375" bestFit="1" customWidth="1"/>
    <col min="9" max="9" width="9.375" customWidth="1"/>
    <col min="10" max="10" width="21.75" customWidth="1"/>
    <col min="11" max="28" width="9.375" customWidth="1"/>
  </cols>
  <sheetData>
    <row r="1" spans="2:10" ht="15" customHeight="1" x14ac:dyDescent="0.25">
      <c r="B1" s="184" t="s">
        <v>2089</v>
      </c>
      <c r="G1" s="184" t="s">
        <v>153</v>
      </c>
    </row>
    <row r="2" spans="2:10" x14ac:dyDescent="0.25">
      <c r="B2" s="52" t="s">
        <v>296</v>
      </c>
      <c r="D2" s="184" t="s">
        <v>2090</v>
      </c>
      <c r="G2" s="52" t="s">
        <v>445</v>
      </c>
      <c r="J2" s="184" t="s">
        <v>2091</v>
      </c>
    </row>
    <row r="3" spans="2:10" x14ac:dyDescent="0.25">
      <c r="B3" s="52" t="s">
        <v>975</v>
      </c>
      <c r="G3" s="52" t="s">
        <v>178</v>
      </c>
      <c r="J3" s="208" t="s">
        <v>2092</v>
      </c>
    </row>
    <row r="4" spans="2:10" x14ac:dyDescent="0.25">
      <c r="B4" s="52" t="s">
        <v>511</v>
      </c>
      <c r="D4" t="s">
        <v>399</v>
      </c>
      <c r="G4" s="52" t="s">
        <v>234</v>
      </c>
      <c r="J4" s="208" t="s">
        <v>400</v>
      </c>
    </row>
    <row r="5" spans="2:10" x14ac:dyDescent="0.25">
      <c r="B5" s="52" t="s">
        <v>192</v>
      </c>
      <c r="D5" t="s">
        <v>193</v>
      </c>
      <c r="G5" s="52" t="s">
        <v>445</v>
      </c>
      <c r="J5" s="208" t="s">
        <v>2093</v>
      </c>
    </row>
    <row r="6" spans="2:10" ht="15" customHeight="1" x14ac:dyDescent="0.2">
      <c r="J6" s="208" t="s">
        <v>455</v>
      </c>
    </row>
    <row r="7" spans="2:10" ht="15" customHeight="1" x14ac:dyDescent="0.25">
      <c r="G7" s="183" t="s">
        <v>2094</v>
      </c>
      <c r="J7" s="208" t="s">
        <v>2095</v>
      </c>
    </row>
    <row r="8" spans="2:10" x14ac:dyDescent="0.25">
      <c r="B8" s="52" t="s">
        <v>2096</v>
      </c>
      <c r="G8" s="52" t="s">
        <v>187</v>
      </c>
      <c r="J8" s="208" t="s">
        <v>2097</v>
      </c>
    </row>
    <row r="9" spans="2:10" x14ac:dyDescent="0.25">
      <c r="B9" s="52" t="s">
        <v>2098</v>
      </c>
      <c r="G9" s="52" t="s">
        <v>228</v>
      </c>
      <c r="J9" s="208" t="s">
        <v>2099</v>
      </c>
    </row>
    <row r="10" spans="2:10" x14ac:dyDescent="0.25">
      <c r="B10" s="52" t="s">
        <v>2100</v>
      </c>
      <c r="G10" s="52" t="s">
        <v>209</v>
      </c>
      <c r="J10" s="208" t="s">
        <v>2101</v>
      </c>
    </row>
    <row r="11" spans="2:10" ht="15" customHeight="1" x14ac:dyDescent="0.2">
      <c r="J11" s="208" t="s">
        <v>2102</v>
      </c>
    </row>
    <row r="12" spans="2:10" ht="15" customHeight="1" x14ac:dyDescent="0.25">
      <c r="B12" s="183" t="s">
        <v>2103</v>
      </c>
      <c r="G12" s="183" t="s">
        <v>2104</v>
      </c>
      <c r="J12" s="208" t="s">
        <v>2105</v>
      </c>
    </row>
    <row r="13" spans="2:10" x14ac:dyDescent="0.25">
      <c r="B13" s="52" t="s">
        <v>2106</v>
      </c>
      <c r="G13" s="52" t="s">
        <v>188</v>
      </c>
      <c r="J13" s="208" t="s">
        <v>2107</v>
      </c>
    </row>
    <row r="14" spans="2:10" x14ac:dyDescent="0.25">
      <c r="B14" s="52" t="s">
        <v>1236</v>
      </c>
      <c r="G14" s="52" t="s">
        <v>341</v>
      </c>
      <c r="J14" s="208" t="s">
        <v>457</v>
      </c>
    </row>
    <row r="15" spans="2:10" x14ac:dyDescent="0.25">
      <c r="B15" s="52" t="s">
        <v>2108</v>
      </c>
      <c r="J15" s="208" t="s">
        <v>2109</v>
      </c>
    </row>
    <row r="16" spans="2:10" x14ac:dyDescent="0.25">
      <c r="B16" s="52" t="s">
        <v>2110</v>
      </c>
      <c r="J16" s="208" t="s">
        <v>2111</v>
      </c>
    </row>
    <row r="17" spans="2:10" x14ac:dyDescent="0.25">
      <c r="B17" s="52" t="s">
        <v>2112</v>
      </c>
      <c r="G17" s="208" t="s">
        <v>2113</v>
      </c>
      <c r="J17" s="208" t="s">
        <v>2114</v>
      </c>
    </row>
    <row r="18" spans="2:10" x14ac:dyDescent="0.25">
      <c r="B18" s="52" t="s">
        <v>2115</v>
      </c>
      <c r="G18" s="208" t="s">
        <v>1237</v>
      </c>
      <c r="J18" s="208" t="s">
        <v>2116</v>
      </c>
    </row>
    <row r="19" spans="2:10" x14ac:dyDescent="0.25">
      <c r="B19" s="52" t="s">
        <v>2117</v>
      </c>
      <c r="J19" s="208" t="s">
        <v>2118</v>
      </c>
    </row>
    <row r="20" spans="2:10" ht="15" customHeight="1" x14ac:dyDescent="0.25">
      <c r="B20" s="52"/>
      <c r="J20" s="208" t="s">
        <v>194</v>
      </c>
    </row>
    <row r="21" spans="2:10" ht="15.75" customHeight="1" x14ac:dyDescent="0.2"/>
    <row r="22" spans="2:10" ht="15.75" customHeight="1" x14ac:dyDescent="0.25">
      <c r="B22" s="183" t="s">
        <v>2119</v>
      </c>
    </row>
    <row r="23" spans="2:10" ht="15.75" customHeight="1" x14ac:dyDescent="0.25">
      <c r="B23" s="52" t="s">
        <v>1837</v>
      </c>
    </row>
    <row r="24" spans="2:10" ht="15.75" customHeight="1" x14ac:dyDescent="0.25">
      <c r="B24" s="52" t="s">
        <v>1836</v>
      </c>
    </row>
    <row r="25" spans="2:10" ht="15.75" customHeight="1" x14ac:dyDescent="0.25">
      <c r="B25" s="52" t="s">
        <v>1839</v>
      </c>
    </row>
    <row r="26" spans="2:10" ht="15.75" customHeight="1" x14ac:dyDescent="0.2"/>
    <row r="27" spans="2:10" ht="15.75" customHeight="1" x14ac:dyDescent="0.2">
      <c r="B27" s="68" t="s">
        <v>1910</v>
      </c>
      <c r="C27" s="68" t="s">
        <v>86</v>
      </c>
      <c r="D27" s="68" t="s">
        <v>88</v>
      </c>
      <c r="E27" s="68" t="s">
        <v>90</v>
      </c>
      <c r="F27" s="68" t="s">
        <v>1911</v>
      </c>
      <c r="H27" s="102" t="s">
        <v>2029</v>
      </c>
    </row>
    <row r="28" spans="2:10" ht="54" customHeight="1" x14ac:dyDescent="0.2">
      <c r="B28" s="70" t="s">
        <v>183</v>
      </c>
      <c r="C28" s="182" t="s">
        <v>177</v>
      </c>
      <c r="D28" s="182" t="s">
        <v>2120</v>
      </c>
      <c r="E28" s="182" t="s">
        <v>2121</v>
      </c>
      <c r="F28" s="71" t="s">
        <v>1917</v>
      </c>
      <c r="H28" s="104" t="s">
        <v>183</v>
      </c>
    </row>
    <row r="29" spans="2:10" ht="78" customHeight="1" x14ac:dyDescent="0.2">
      <c r="B29" s="70" t="s">
        <v>183</v>
      </c>
      <c r="C29" s="72" t="s">
        <v>254</v>
      </c>
      <c r="D29" s="182" t="s">
        <v>2122</v>
      </c>
      <c r="E29" s="182" t="s">
        <v>2123</v>
      </c>
      <c r="F29" s="71" t="s">
        <v>1923</v>
      </c>
      <c r="H29" s="104" t="s">
        <v>258</v>
      </c>
    </row>
    <row r="30" spans="2:10" ht="47.25" customHeight="1" x14ac:dyDescent="0.2">
      <c r="B30" s="70" t="s">
        <v>183</v>
      </c>
      <c r="C30" s="182" t="s">
        <v>345</v>
      </c>
      <c r="D30" s="182" t="s">
        <v>2124</v>
      </c>
      <c r="E30" s="182" t="s">
        <v>2125</v>
      </c>
      <c r="F30" s="71" t="s">
        <v>1929</v>
      </c>
      <c r="H30" s="104" t="s">
        <v>760</v>
      </c>
    </row>
    <row r="31" spans="2:10" ht="47.25" customHeight="1" x14ac:dyDescent="0.2">
      <c r="B31" s="70" t="s">
        <v>183</v>
      </c>
      <c r="C31" s="182" t="s">
        <v>383</v>
      </c>
      <c r="D31" s="182" t="s">
        <v>2126</v>
      </c>
      <c r="E31" s="182" t="s">
        <v>2127</v>
      </c>
      <c r="F31" s="71" t="s">
        <v>1934</v>
      </c>
      <c r="H31" s="104" t="s">
        <v>768</v>
      </c>
    </row>
    <row r="32" spans="2:10" ht="63" customHeight="1" x14ac:dyDescent="0.2">
      <c r="B32" s="70" t="s">
        <v>183</v>
      </c>
      <c r="C32" s="182" t="s">
        <v>992</v>
      </c>
      <c r="D32" s="182" t="s">
        <v>2128</v>
      </c>
      <c r="E32" s="182" t="s">
        <v>2129</v>
      </c>
      <c r="F32" s="71" t="s">
        <v>1939</v>
      </c>
      <c r="H32" s="104" t="s">
        <v>380</v>
      </c>
    </row>
    <row r="33" spans="2:10" ht="57" customHeight="1" x14ac:dyDescent="0.2">
      <c r="B33" s="70" t="s">
        <v>1940</v>
      </c>
      <c r="C33" s="182" t="s">
        <v>404</v>
      </c>
      <c r="D33" s="182" t="s">
        <v>2130</v>
      </c>
      <c r="E33" s="182" t="s">
        <v>2131</v>
      </c>
      <c r="F33" s="71" t="s">
        <v>1941</v>
      </c>
      <c r="H33" s="104" t="s">
        <v>320</v>
      </c>
    </row>
    <row r="34" spans="2:10" ht="53.25" customHeight="1" x14ac:dyDescent="0.2">
      <c r="B34" s="70" t="s">
        <v>1940</v>
      </c>
      <c r="C34" s="182" t="s">
        <v>704</v>
      </c>
      <c r="D34" s="182" t="s">
        <v>2132</v>
      </c>
      <c r="E34" s="182" t="s">
        <v>1535</v>
      </c>
      <c r="F34" s="71" t="s">
        <v>1942</v>
      </c>
      <c r="H34" s="104" t="s">
        <v>308</v>
      </c>
    </row>
    <row r="35" spans="2:10" ht="33.75" customHeight="1" x14ac:dyDescent="0.2">
      <c r="B35" s="70" t="s">
        <v>1940</v>
      </c>
      <c r="C35" s="182" t="s">
        <v>561</v>
      </c>
      <c r="D35" s="182" t="s">
        <v>2133</v>
      </c>
      <c r="E35" s="182" t="s">
        <v>2134</v>
      </c>
      <c r="F35" s="71" t="s">
        <v>1945</v>
      </c>
      <c r="H35" s="104" t="s">
        <v>688</v>
      </c>
    </row>
    <row r="36" spans="2:10" ht="33.75" customHeight="1" x14ac:dyDescent="0.2">
      <c r="B36" s="70" t="s">
        <v>1940</v>
      </c>
      <c r="C36" s="182" t="s">
        <v>521</v>
      </c>
      <c r="D36" s="182" t="s">
        <v>2135</v>
      </c>
      <c r="E36" s="182" t="s">
        <v>2136</v>
      </c>
      <c r="F36" s="71" t="s">
        <v>1952</v>
      </c>
      <c r="J36" s="104" t="s">
        <v>2137</v>
      </c>
    </row>
    <row r="37" spans="2:10" ht="33.75" customHeight="1" x14ac:dyDescent="0.2">
      <c r="B37" s="70" t="s">
        <v>1940</v>
      </c>
      <c r="C37" s="182" t="s">
        <v>631</v>
      </c>
      <c r="D37" s="182" t="s">
        <v>2138</v>
      </c>
      <c r="E37" s="182" t="s">
        <v>1730</v>
      </c>
      <c r="F37" s="71" t="s">
        <v>1957</v>
      </c>
    </row>
    <row r="38" spans="2:10" ht="33.75" customHeight="1" x14ac:dyDescent="0.2">
      <c r="B38" s="70" t="s">
        <v>1940</v>
      </c>
      <c r="C38" s="72" t="s">
        <v>722</v>
      </c>
      <c r="D38" s="182" t="s">
        <v>2139</v>
      </c>
      <c r="E38" s="182" t="s">
        <v>2140</v>
      </c>
      <c r="F38" s="71" t="s">
        <v>1961</v>
      </c>
    </row>
    <row r="39" spans="2:10" ht="33.75" customHeight="1" x14ac:dyDescent="0.2">
      <c r="B39" s="70" t="s">
        <v>1940</v>
      </c>
      <c r="C39" s="72" t="s">
        <v>539</v>
      </c>
      <c r="D39" s="182" t="s">
        <v>2141</v>
      </c>
      <c r="E39" s="182" t="s">
        <v>2142</v>
      </c>
      <c r="F39" s="71" t="s">
        <v>1966</v>
      </c>
    </row>
    <row r="40" spans="2:10" ht="33.75" customHeight="1" x14ac:dyDescent="0.2">
      <c r="B40" s="70" t="s">
        <v>1940</v>
      </c>
      <c r="C40" s="72" t="s">
        <v>482</v>
      </c>
      <c r="D40" s="182" t="s">
        <v>2143</v>
      </c>
      <c r="E40" s="182" t="s">
        <v>2144</v>
      </c>
      <c r="F40" s="71" t="s">
        <v>1971</v>
      </c>
    </row>
    <row r="41" spans="2:10" ht="33.75" customHeight="1" x14ac:dyDescent="0.2">
      <c r="B41" s="70" t="s">
        <v>1975</v>
      </c>
      <c r="C41" s="72" t="s">
        <v>756</v>
      </c>
      <c r="D41" s="182" t="s">
        <v>2145</v>
      </c>
      <c r="E41" s="182" t="s">
        <v>1483</v>
      </c>
      <c r="F41" s="71" t="s">
        <v>1976</v>
      </c>
    </row>
    <row r="42" spans="2:10" ht="33.75" customHeight="1" x14ac:dyDescent="0.2">
      <c r="B42" s="70" t="s">
        <v>1975</v>
      </c>
      <c r="C42" s="72" t="s">
        <v>783</v>
      </c>
      <c r="D42" s="182" t="s">
        <v>2146</v>
      </c>
      <c r="E42" s="182" t="s">
        <v>2147</v>
      </c>
      <c r="F42" s="71" t="s">
        <v>1978</v>
      </c>
    </row>
    <row r="43" spans="2:10" ht="33.75" customHeight="1" x14ac:dyDescent="0.2">
      <c r="B43" s="70" t="s">
        <v>1975</v>
      </c>
      <c r="C43" s="72" t="s">
        <v>794</v>
      </c>
      <c r="D43" s="182" t="s">
        <v>2148</v>
      </c>
      <c r="E43" s="182" t="s">
        <v>1591</v>
      </c>
      <c r="F43" s="71" t="s">
        <v>1980</v>
      </c>
    </row>
    <row r="44" spans="2:10" ht="33.75" customHeight="1" x14ac:dyDescent="0.2">
      <c r="B44" s="70" t="s">
        <v>1975</v>
      </c>
      <c r="C44" s="182" t="s">
        <v>811</v>
      </c>
      <c r="D44" s="182" t="s">
        <v>2149</v>
      </c>
      <c r="E44" s="182" t="s">
        <v>2150</v>
      </c>
      <c r="F44" s="71" t="s">
        <v>1984</v>
      </c>
    </row>
    <row r="45" spans="2:10" ht="33.75" customHeight="1" x14ac:dyDescent="0.2">
      <c r="B45" s="70" t="s">
        <v>1975</v>
      </c>
      <c r="C45" s="72" t="s">
        <v>842</v>
      </c>
      <c r="D45" s="182" t="s">
        <v>2151</v>
      </c>
      <c r="E45" s="182" t="s">
        <v>1574</v>
      </c>
      <c r="F45" s="71" t="s">
        <v>1986</v>
      </c>
    </row>
    <row r="46" spans="2:10" ht="86.25" customHeight="1" x14ac:dyDescent="0.2">
      <c r="B46" s="70" t="s">
        <v>1975</v>
      </c>
      <c r="C46" s="72" t="s">
        <v>873</v>
      </c>
      <c r="D46" s="182" t="s">
        <v>2152</v>
      </c>
      <c r="E46" s="182" t="s">
        <v>2153</v>
      </c>
      <c r="F46" s="71" t="s">
        <v>1990</v>
      </c>
    </row>
    <row r="47" spans="2:10" ht="47.25" customHeight="1" x14ac:dyDescent="0.2">
      <c r="B47" s="70" t="s">
        <v>1975</v>
      </c>
      <c r="C47" s="72" t="s">
        <v>882</v>
      </c>
      <c r="D47" s="182" t="s">
        <v>2154</v>
      </c>
      <c r="E47" s="182" t="s">
        <v>1516</v>
      </c>
      <c r="F47" s="71" t="s">
        <v>1993</v>
      </c>
    </row>
    <row r="48" spans="2:10" ht="33.75" customHeight="1" x14ac:dyDescent="0.2">
      <c r="B48" s="70" t="s">
        <v>1975</v>
      </c>
      <c r="C48" s="72" t="s">
        <v>906</v>
      </c>
      <c r="D48" s="182" t="s">
        <v>2155</v>
      </c>
      <c r="E48" s="182" t="s">
        <v>1551</v>
      </c>
      <c r="F48" s="71" t="s">
        <v>1996</v>
      </c>
    </row>
    <row r="49" spans="2:6" ht="33.75" customHeight="1" x14ac:dyDescent="0.2">
      <c r="B49" s="70" t="s">
        <v>1339</v>
      </c>
      <c r="C49" s="182" t="s">
        <v>965</v>
      </c>
      <c r="D49" s="182" t="s">
        <v>2156</v>
      </c>
      <c r="E49" s="182" t="s">
        <v>2157</v>
      </c>
      <c r="F49" s="71" t="s">
        <v>1998</v>
      </c>
    </row>
    <row r="50" spans="2:6" ht="33.75" customHeight="1" x14ac:dyDescent="0.2">
      <c r="B50" s="70"/>
      <c r="C50" s="72" t="s">
        <v>2001</v>
      </c>
      <c r="D50" s="182"/>
      <c r="E50" s="182"/>
      <c r="F50" s="71" t="s">
        <v>2002</v>
      </c>
    </row>
    <row r="51" spans="2:6" ht="15.75" customHeight="1" x14ac:dyDescent="0.2"/>
    <row r="52" spans="2:6" ht="15.75" customHeight="1" x14ac:dyDescent="0.2"/>
    <row r="53" spans="2:6" ht="15.75" customHeight="1" x14ac:dyDescent="0.2"/>
    <row r="54" spans="2:6" ht="15.75" customHeight="1" x14ac:dyDescent="0.2"/>
    <row r="55" spans="2:6" ht="15.75" customHeight="1" x14ac:dyDescent="0.2"/>
    <row r="56" spans="2:6" ht="15.75" customHeight="1" x14ac:dyDescent="0.2"/>
    <row r="57" spans="2:6" ht="15.75" customHeight="1" x14ac:dyDescent="0.2"/>
    <row r="58" spans="2:6" ht="15.75" customHeight="1" x14ac:dyDescent="0.2"/>
    <row r="59" spans="2:6" ht="15.75" customHeight="1" x14ac:dyDescent="0.2"/>
    <row r="60" spans="2:6" ht="15.75" customHeight="1" x14ac:dyDescent="0.2"/>
    <row r="61" spans="2:6" ht="15.75" customHeight="1" x14ac:dyDescent="0.2"/>
    <row r="62" spans="2:6" ht="15.75" customHeight="1" x14ac:dyDescent="0.2"/>
    <row r="63" spans="2:6" ht="15.75" customHeight="1" x14ac:dyDescent="0.2"/>
    <row r="64" spans="2:6"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dataValidations count="1">
    <dataValidation type="list" allowBlank="1" showInputMessage="1" showErrorMessage="1" sqref="B28:B50" xr:uid="{00000000-0002-0000-0D00-000000000000}">
      <formula1>T_Proceso</formula1>
    </dataValidation>
  </dataValidations>
  <pageMargins left="0.70866141732283472" right="0.70866141732283472" top="0.74803149606299213" bottom="0.74803149606299213" header="0" footer="0"/>
  <pageSetup orientation="landscape" r:id="rId1"/>
  <headerFooter>
    <oddHeader>&amp;L&amp;G&amp;C
MATRIZ DE RIESGOS</oddHeader>
    <oddFooter>&amp;RCódigo:E-02-F-014
Versión: 5   
Fecha: Ver Isolución</oddFooter>
  </headerFooter>
  <legacy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11752-FA08-4C2B-A0FB-D249D3290F9F}">
  <dimension ref="A1:B93"/>
  <sheetViews>
    <sheetView workbookViewId="0">
      <selection activeCell="A18" sqref="A18:A39"/>
    </sheetView>
  </sheetViews>
  <sheetFormatPr baseColWidth="10" defaultColWidth="9" defaultRowHeight="14.25" x14ac:dyDescent="0.2"/>
  <cols>
    <col min="1" max="1" width="26.25" style="121" bestFit="1" customWidth="1"/>
    <col min="2" max="2" width="69.5" style="121" customWidth="1"/>
    <col min="3" max="16384" width="9" style="121"/>
  </cols>
  <sheetData>
    <row r="1" spans="1:2" ht="15" x14ac:dyDescent="0.25">
      <c r="A1" s="120" t="s">
        <v>2158</v>
      </c>
      <c r="B1" s="120" t="s">
        <v>2159</v>
      </c>
    </row>
    <row r="2" spans="1:2" ht="15" x14ac:dyDescent="0.25">
      <c r="A2" s="940" t="s">
        <v>1841</v>
      </c>
      <c r="B2" s="122" t="s">
        <v>2160</v>
      </c>
    </row>
    <row r="3" spans="1:2" ht="15" x14ac:dyDescent="0.25">
      <c r="A3" s="940"/>
      <c r="B3" s="122" t="s">
        <v>2161</v>
      </c>
    </row>
    <row r="4" spans="1:2" ht="15" x14ac:dyDescent="0.25">
      <c r="A4" s="940"/>
      <c r="B4" s="123" t="s">
        <v>2162</v>
      </c>
    </row>
    <row r="5" spans="1:2" ht="15" x14ac:dyDescent="0.25">
      <c r="A5" s="940"/>
      <c r="B5" s="123" t="s">
        <v>2163</v>
      </c>
    </row>
    <row r="6" spans="1:2" ht="15" x14ac:dyDescent="0.25">
      <c r="A6" s="940"/>
      <c r="B6" s="123" t="s">
        <v>2164</v>
      </c>
    </row>
    <row r="7" spans="1:2" ht="15" x14ac:dyDescent="0.25">
      <c r="A7" s="940"/>
      <c r="B7" s="123" t="s">
        <v>2165</v>
      </c>
    </row>
    <row r="8" spans="1:2" ht="15" x14ac:dyDescent="0.25">
      <c r="A8" s="940"/>
      <c r="B8" s="123" t="s">
        <v>2166</v>
      </c>
    </row>
    <row r="9" spans="1:2" ht="15" x14ac:dyDescent="0.25">
      <c r="A9" s="940"/>
      <c r="B9" s="123" t="s">
        <v>2167</v>
      </c>
    </row>
    <row r="10" spans="1:2" ht="15" customHeight="1" x14ac:dyDescent="0.2">
      <c r="A10" s="940"/>
      <c r="B10" s="193" t="s">
        <v>2168</v>
      </c>
    </row>
    <row r="11" spans="1:2" ht="15" customHeight="1" x14ac:dyDescent="0.2">
      <c r="A11" s="940"/>
      <c r="B11" s="193" t="s">
        <v>2169</v>
      </c>
    </row>
    <row r="12" spans="1:2" ht="15" x14ac:dyDescent="0.25">
      <c r="A12" s="940"/>
      <c r="B12" s="123" t="s">
        <v>2170</v>
      </c>
    </row>
    <row r="13" spans="1:2" ht="15" x14ac:dyDescent="0.25">
      <c r="A13" s="940"/>
      <c r="B13" s="123" t="s">
        <v>2171</v>
      </c>
    </row>
    <row r="14" spans="1:2" ht="15" x14ac:dyDescent="0.25">
      <c r="A14" s="940"/>
      <c r="B14" s="123" t="s">
        <v>2172</v>
      </c>
    </row>
    <row r="15" spans="1:2" ht="15" x14ac:dyDescent="0.25">
      <c r="A15" s="940"/>
      <c r="B15" s="123" t="s">
        <v>2173</v>
      </c>
    </row>
    <row r="16" spans="1:2" ht="15" x14ac:dyDescent="0.25">
      <c r="A16" s="940"/>
      <c r="B16" s="123" t="s">
        <v>2174</v>
      </c>
    </row>
    <row r="17" spans="1:2" ht="15" x14ac:dyDescent="0.25">
      <c r="A17" s="940"/>
      <c r="B17" s="123" t="s">
        <v>2175</v>
      </c>
    </row>
    <row r="18" spans="1:2" ht="15" x14ac:dyDescent="0.25">
      <c r="A18" s="940" t="s">
        <v>1838</v>
      </c>
      <c r="B18" s="123" t="s">
        <v>2176</v>
      </c>
    </row>
    <row r="19" spans="1:2" ht="15" x14ac:dyDescent="0.25">
      <c r="A19" s="940"/>
      <c r="B19" s="123" t="s">
        <v>2177</v>
      </c>
    </row>
    <row r="20" spans="1:2" ht="15" x14ac:dyDescent="0.25">
      <c r="A20" s="940"/>
      <c r="B20" s="123" t="s">
        <v>2178</v>
      </c>
    </row>
    <row r="21" spans="1:2" ht="15" x14ac:dyDescent="0.25">
      <c r="A21" s="940"/>
      <c r="B21" s="123" t="s">
        <v>2179</v>
      </c>
    </row>
    <row r="22" spans="1:2" ht="15" x14ac:dyDescent="0.25">
      <c r="A22" s="940"/>
      <c r="B22" s="123" t="s">
        <v>2180</v>
      </c>
    </row>
    <row r="23" spans="1:2" ht="15" x14ac:dyDescent="0.25">
      <c r="A23" s="940"/>
      <c r="B23" s="123" t="s">
        <v>2181</v>
      </c>
    </row>
    <row r="24" spans="1:2" ht="15" x14ac:dyDescent="0.25">
      <c r="A24" s="940"/>
      <c r="B24" s="123" t="s">
        <v>2182</v>
      </c>
    </row>
    <row r="25" spans="1:2" ht="15" x14ac:dyDescent="0.25">
      <c r="A25" s="940"/>
      <c r="B25" s="124" t="s">
        <v>2183</v>
      </c>
    </row>
    <row r="26" spans="1:2" ht="15" x14ac:dyDescent="0.25">
      <c r="A26" s="940"/>
      <c r="B26" s="122" t="s">
        <v>2184</v>
      </c>
    </row>
    <row r="27" spans="1:2" ht="15" x14ac:dyDescent="0.25">
      <c r="A27" s="940"/>
      <c r="B27" s="124" t="s">
        <v>2185</v>
      </c>
    </row>
    <row r="28" spans="1:2" ht="15" x14ac:dyDescent="0.25">
      <c r="A28" s="940"/>
      <c r="B28" s="124" t="s">
        <v>2186</v>
      </c>
    </row>
    <row r="29" spans="1:2" ht="15" x14ac:dyDescent="0.25">
      <c r="A29" s="940"/>
      <c r="B29" s="124" t="s">
        <v>2187</v>
      </c>
    </row>
    <row r="30" spans="1:2" ht="15" x14ac:dyDescent="0.25">
      <c r="A30" s="940"/>
      <c r="B30" s="123" t="s">
        <v>2188</v>
      </c>
    </row>
    <row r="31" spans="1:2" ht="15" x14ac:dyDescent="0.25">
      <c r="A31" s="940"/>
      <c r="B31" s="124" t="s">
        <v>2189</v>
      </c>
    </row>
    <row r="32" spans="1:2" ht="15" x14ac:dyDescent="0.25">
      <c r="A32" s="940"/>
      <c r="B32" s="125" t="s">
        <v>2190</v>
      </c>
    </row>
    <row r="33" spans="1:2" ht="15" x14ac:dyDescent="0.25">
      <c r="A33" s="940"/>
      <c r="B33" s="126" t="s">
        <v>2191</v>
      </c>
    </row>
    <row r="34" spans="1:2" ht="15" x14ac:dyDescent="0.25">
      <c r="A34" s="940"/>
      <c r="B34" s="126" t="s">
        <v>2192</v>
      </c>
    </row>
    <row r="35" spans="1:2" ht="15" x14ac:dyDescent="0.25">
      <c r="A35" s="940"/>
      <c r="B35" s="124" t="s">
        <v>2193</v>
      </c>
    </row>
    <row r="36" spans="1:2" ht="15" x14ac:dyDescent="0.25">
      <c r="A36" s="940"/>
      <c r="B36" s="125" t="s">
        <v>2194</v>
      </c>
    </row>
    <row r="37" spans="1:2" ht="15" x14ac:dyDescent="0.25">
      <c r="A37" s="940"/>
      <c r="B37" s="126" t="s">
        <v>2195</v>
      </c>
    </row>
    <row r="38" spans="1:2" ht="15" x14ac:dyDescent="0.25">
      <c r="A38" s="940"/>
      <c r="B38" s="125" t="s">
        <v>2196</v>
      </c>
    </row>
    <row r="39" spans="1:2" ht="15" x14ac:dyDescent="0.25">
      <c r="A39" s="940"/>
      <c r="B39" s="126" t="s">
        <v>2197</v>
      </c>
    </row>
    <row r="40" spans="1:2" ht="30.75" customHeight="1" x14ac:dyDescent="0.2">
      <c r="A40" s="940" t="s">
        <v>2198</v>
      </c>
      <c r="B40" s="127" t="s">
        <v>2199</v>
      </c>
    </row>
    <row r="41" spans="1:2" ht="15" customHeight="1" x14ac:dyDescent="0.2">
      <c r="A41" s="940"/>
      <c r="B41" s="127" t="s">
        <v>2200</v>
      </c>
    </row>
    <row r="42" spans="1:2" ht="15" x14ac:dyDescent="0.25">
      <c r="A42" s="940"/>
      <c r="B42" s="126" t="s">
        <v>2201</v>
      </c>
    </row>
    <row r="43" spans="1:2" ht="30.75" customHeight="1" x14ac:dyDescent="0.25">
      <c r="A43" s="938" t="s">
        <v>1845</v>
      </c>
      <c r="B43" s="126" t="s">
        <v>2202</v>
      </c>
    </row>
    <row r="44" spans="1:2" ht="15" x14ac:dyDescent="0.25">
      <c r="A44" s="938"/>
      <c r="B44" s="126" t="s">
        <v>2203</v>
      </c>
    </row>
    <row r="45" spans="1:2" ht="15" x14ac:dyDescent="0.25">
      <c r="A45" s="938"/>
      <c r="B45" s="126" t="s">
        <v>2204</v>
      </c>
    </row>
    <row r="46" spans="1:2" ht="15" x14ac:dyDescent="0.25">
      <c r="A46" s="938"/>
      <c r="B46" s="126" t="s">
        <v>2205</v>
      </c>
    </row>
    <row r="47" spans="1:2" ht="15" x14ac:dyDescent="0.25">
      <c r="A47" s="941" t="s">
        <v>1840</v>
      </c>
      <c r="B47" s="122" t="s">
        <v>2160</v>
      </c>
    </row>
    <row r="48" spans="1:2" ht="15" x14ac:dyDescent="0.25">
      <c r="A48" s="941"/>
      <c r="B48" s="122" t="s">
        <v>2161</v>
      </c>
    </row>
    <row r="49" spans="1:2" ht="15" x14ac:dyDescent="0.25">
      <c r="A49" s="941"/>
      <c r="B49" s="123" t="s">
        <v>2163</v>
      </c>
    </row>
    <row r="50" spans="1:2" ht="15" x14ac:dyDescent="0.25">
      <c r="A50" s="941"/>
      <c r="B50" s="123" t="s">
        <v>2164</v>
      </c>
    </row>
    <row r="51" spans="1:2" ht="15" x14ac:dyDescent="0.25">
      <c r="A51" s="941"/>
      <c r="B51" s="123" t="s">
        <v>2165</v>
      </c>
    </row>
    <row r="52" spans="1:2" ht="15" x14ac:dyDescent="0.25">
      <c r="A52" s="941"/>
      <c r="B52" s="123" t="s">
        <v>2166</v>
      </c>
    </row>
    <row r="53" spans="1:2" ht="15" x14ac:dyDescent="0.25">
      <c r="A53" s="941"/>
      <c r="B53" s="123" t="s">
        <v>2167</v>
      </c>
    </row>
    <row r="54" spans="1:2" x14ac:dyDescent="0.2">
      <c r="A54" s="941"/>
      <c r="B54" s="193" t="s">
        <v>2168</v>
      </c>
    </row>
    <row r="55" spans="1:2" x14ac:dyDescent="0.2">
      <c r="A55" s="941"/>
      <c r="B55" s="193" t="s">
        <v>2169</v>
      </c>
    </row>
    <row r="56" spans="1:2" ht="15" x14ac:dyDescent="0.25">
      <c r="A56" s="941"/>
      <c r="B56" s="123" t="s">
        <v>2170</v>
      </c>
    </row>
    <row r="57" spans="1:2" ht="15" x14ac:dyDescent="0.25">
      <c r="A57" s="941"/>
      <c r="B57" s="123" t="s">
        <v>2171</v>
      </c>
    </row>
    <row r="58" spans="1:2" ht="15" x14ac:dyDescent="0.25">
      <c r="A58" s="941"/>
      <c r="B58" s="123" t="s">
        <v>2172</v>
      </c>
    </row>
    <row r="59" spans="1:2" ht="15" x14ac:dyDescent="0.25">
      <c r="A59" s="941"/>
      <c r="B59" s="123" t="s">
        <v>2175</v>
      </c>
    </row>
    <row r="60" spans="1:2" ht="15" customHeight="1" x14ac:dyDescent="0.2">
      <c r="A60" s="942" t="s">
        <v>1848</v>
      </c>
      <c r="B60" s="128" t="s">
        <v>1842</v>
      </c>
    </row>
    <row r="61" spans="1:2" ht="15" customHeight="1" x14ac:dyDescent="0.2">
      <c r="A61" s="942"/>
      <c r="B61" s="128" t="s">
        <v>2206</v>
      </c>
    </row>
    <row r="62" spans="1:2" x14ac:dyDescent="0.2">
      <c r="A62" s="938" t="s">
        <v>1844</v>
      </c>
      <c r="B62" s="129" t="s">
        <v>2207</v>
      </c>
    </row>
    <row r="63" spans="1:2" ht="15" x14ac:dyDescent="0.25">
      <c r="A63" s="938"/>
      <c r="B63" s="124" t="s">
        <v>2208</v>
      </c>
    </row>
    <row r="64" spans="1:2" ht="15" x14ac:dyDescent="0.25">
      <c r="A64" s="938"/>
      <c r="B64" s="124" t="s">
        <v>2209</v>
      </c>
    </row>
    <row r="65" spans="1:2" ht="15" x14ac:dyDescent="0.25">
      <c r="A65" s="938"/>
      <c r="B65" s="124" t="s">
        <v>2210</v>
      </c>
    </row>
    <row r="66" spans="1:2" ht="15" x14ac:dyDescent="0.25">
      <c r="A66" s="938"/>
      <c r="B66" s="124" t="s">
        <v>2211</v>
      </c>
    </row>
    <row r="67" spans="1:2" ht="15" x14ac:dyDescent="0.25">
      <c r="A67" s="938"/>
      <c r="B67" s="124" t="s">
        <v>2212</v>
      </c>
    </row>
    <row r="68" spans="1:2" ht="15" x14ac:dyDescent="0.25">
      <c r="A68" s="938"/>
      <c r="B68" s="124" t="s">
        <v>2213</v>
      </c>
    </row>
    <row r="69" spans="1:2" ht="15" x14ac:dyDescent="0.25">
      <c r="A69" s="938"/>
      <c r="B69" s="124" t="s">
        <v>2214</v>
      </c>
    </row>
    <row r="70" spans="1:2" ht="15" x14ac:dyDescent="0.25">
      <c r="A70" s="938"/>
      <c r="B70" s="124" t="s">
        <v>2215</v>
      </c>
    </row>
    <row r="71" spans="1:2" ht="15" x14ac:dyDescent="0.25">
      <c r="A71" s="938"/>
      <c r="B71" s="124" t="s">
        <v>2216</v>
      </c>
    </row>
    <row r="72" spans="1:2" ht="15" x14ac:dyDescent="0.25">
      <c r="A72" s="938"/>
      <c r="B72" s="124" t="s">
        <v>2217</v>
      </c>
    </row>
    <row r="73" spans="1:2" ht="76.5" customHeight="1" x14ac:dyDescent="0.25">
      <c r="A73" s="938" t="s">
        <v>1844</v>
      </c>
      <c r="B73" s="124" t="s">
        <v>2218</v>
      </c>
    </row>
    <row r="74" spans="1:2" ht="15" x14ac:dyDescent="0.25">
      <c r="A74" s="938"/>
      <c r="B74" s="124" t="s">
        <v>2219</v>
      </c>
    </row>
    <row r="75" spans="1:2" ht="15" x14ac:dyDescent="0.25">
      <c r="A75" s="938"/>
      <c r="B75" s="124" t="s">
        <v>2220</v>
      </c>
    </row>
    <row r="76" spans="1:2" ht="15" x14ac:dyDescent="0.25">
      <c r="A76" s="938"/>
      <c r="B76" s="124" t="s">
        <v>2221</v>
      </c>
    </row>
    <row r="77" spans="1:2" ht="15" x14ac:dyDescent="0.25">
      <c r="A77" s="938"/>
      <c r="B77" s="124" t="s">
        <v>2222</v>
      </c>
    </row>
    <row r="78" spans="1:2" ht="15" x14ac:dyDescent="0.25">
      <c r="A78" s="938"/>
      <c r="B78" s="124" t="s">
        <v>2223</v>
      </c>
    </row>
    <row r="79" spans="1:2" ht="15" x14ac:dyDescent="0.25">
      <c r="A79" s="938"/>
      <c r="B79" s="124" t="s">
        <v>2224</v>
      </c>
    </row>
    <row r="80" spans="1:2" ht="15" x14ac:dyDescent="0.25">
      <c r="A80" s="938"/>
      <c r="B80" s="124" t="s">
        <v>2225</v>
      </c>
    </row>
    <row r="81" spans="1:2" ht="15" x14ac:dyDescent="0.25">
      <c r="A81" s="938"/>
      <c r="B81" s="124" t="s">
        <v>2226</v>
      </c>
    </row>
    <row r="82" spans="1:2" ht="15" x14ac:dyDescent="0.25">
      <c r="A82" s="938"/>
      <c r="B82" s="124" t="s">
        <v>2227</v>
      </c>
    </row>
    <row r="83" spans="1:2" ht="15" x14ac:dyDescent="0.25">
      <c r="A83" s="938"/>
      <c r="B83" s="124" t="s">
        <v>2228</v>
      </c>
    </row>
    <row r="84" spans="1:2" ht="15" x14ac:dyDescent="0.25">
      <c r="A84" s="938"/>
      <c r="B84" s="124" t="s">
        <v>2229</v>
      </c>
    </row>
    <row r="85" spans="1:2" ht="15" x14ac:dyDescent="0.25">
      <c r="A85" s="938"/>
      <c r="B85" s="124" t="s">
        <v>2230</v>
      </c>
    </row>
    <row r="86" spans="1:2" ht="15" x14ac:dyDescent="0.25">
      <c r="A86" s="938"/>
      <c r="B86" s="124" t="s">
        <v>2231</v>
      </c>
    </row>
    <row r="87" spans="1:2" ht="15" x14ac:dyDescent="0.25">
      <c r="A87" s="938"/>
      <c r="B87" s="124" t="s">
        <v>2232</v>
      </c>
    </row>
    <row r="88" spans="1:2" x14ac:dyDescent="0.2">
      <c r="A88" s="939" t="s">
        <v>1846</v>
      </c>
      <c r="B88" s="130" t="s">
        <v>2233</v>
      </c>
    </row>
    <row r="89" spans="1:2" x14ac:dyDescent="0.2">
      <c r="A89" s="939"/>
      <c r="B89" s="130" t="s">
        <v>2234</v>
      </c>
    </row>
    <row r="90" spans="1:2" x14ac:dyDescent="0.2">
      <c r="A90" s="939"/>
      <c r="B90" s="130" t="s">
        <v>2235</v>
      </c>
    </row>
    <row r="91" spans="1:2" x14ac:dyDescent="0.2">
      <c r="A91" s="939"/>
      <c r="B91" s="130" t="s">
        <v>2236</v>
      </c>
    </row>
    <row r="92" spans="1:2" x14ac:dyDescent="0.2">
      <c r="A92" s="939"/>
      <c r="B92" s="130" t="s">
        <v>2237</v>
      </c>
    </row>
    <row r="93" spans="1:2" x14ac:dyDescent="0.2">
      <c r="A93" s="939"/>
      <c r="B93" s="130" t="s">
        <v>2238</v>
      </c>
    </row>
  </sheetData>
  <mergeCells count="9">
    <mergeCell ref="A62:A72"/>
    <mergeCell ref="A73:A87"/>
    <mergeCell ref="A88:A93"/>
    <mergeCell ref="A2:A17"/>
    <mergeCell ref="A18:A39"/>
    <mergeCell ref="A40:A42"/>
    <mergeCell ref="A43:A46"/>
    <mergeCell ref="A47:A59"/>
    <mergeCell ref="A60:A61"/>
  </mergeCells>
  <pageMargins left="0.70866141732283472" right="0.70866141732283472" top="0.74803149606299213" bottom="0.74803149606299213" header="0.31496062992125984" footer="0.31496062992125984"/>
  <pageSetup orientation="portrait" horizontalDpi="4294967294" verticalDpi="4294967294" r:id="rId1"/>
  <headerFooter>
    <oddHeader>&amp;L&amp;G&amp;CMATRIZ DE RIESGOS</oddHeader>
    <oddFooter>&amp;RCódigo:E-02-F-014
Versión: 5   
Fecha: Ver Isolución</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2060"/>
  </sheetPr>
  <dimension ref="A1:BD1000"/>
  <sheetViews>
    <sheetView zoomScale="40" zoomScaleNormal="40" workbookViewId="0">
      <selection activeCell="AQ15" sqref="AQ15"/>
    </sheetView>
  </sheetViews>
  <sheetFormatPr baseColWidth="10" defaultColWidth="12.625" defaultRowHeight="15" customHeight="1" x14ac:dyDescent="0.2"/>
  <cols>
    <col min="1" max="1" width="3.5" customWidth="1"/>
    <col min="2" max="2" width="12.375" customWidth="1"/>
    <col min="3" max="3" width="11.5" customWidth="1"/>
    <col min="4" max="4" width="14.125" customWidth="1"/>
    <col min="5" max="5" width="28.375" customWidth="1"/>
    <col min="6" max="6" width="16.625" customWidth="1"/>
    <col min="7" max="7" width="15.625" customWidth="1"/>
    <col min="8" max="8" width="14.5" customWidth="1"/>
    <col min="9" max="9" width="5.5" customWidth="1"/>
    <col min="10" max="10" width="23.875" customWidth="1"/>
    <col min="11" max="11" width="26.75" hidden="1" customWidth="1"/>
    <col min="12" max="12" width="15.375" customWidth="1"/>
    <col min="13" max="13" width="5.5" customWidth="1"/>
    <col min="14" max="14" width="14" customWidth="1"/>
    <col min="15" max="15" width="5.125" customWidth="1"/>
    <col min="16" max="16" width="27.125" customWidth="1"/>
    <col min="17" max="17" width="13.25" customWidth="1"/>
    <col min="18" max="18" width="6" customWidth="1"/>
    <col min="19" max="19" width="4.375" customWidth="1"/>
    <col min="20" max="20" width="4.875" customWidth="1"/>
    <col min="21" max="21" width="6.25" customWidth="1"/>
    <col min="22" max="22" width="5.875" customWidth="1"/>
    <col min="23" max="23" width="6.625" customWidth="1"/>
    <col min="24" max="24" width="33.5" hidden="1" customWidth="1"/>
    <col min="25" max="25" width="7.625" customWidth="1"/>
    <col min="26" max="26" width="9.125" customWidth="1"/>
    <col min="27" max="27" width="8.125" customWidth="1"/>
    <col min="28" max="28" width="8" customWidth="1"/>
    <col min="29" max="29" width="7.375" customWidth="1"/>
    <col min="30" max="30" width="6.375" customWidth="1"/>
    <col min="31" max="31" width="20.125" customWidth="1"/>
    <col min="32" max="32" width="16.5" customWidth="1"/>
    <col min="33" max="33" width="14.75" customWidth="1"/>
    <col min="34" max="34" width="13" customWidth="1"/>
    <col min="35" max="35" width="16.25" customWidth="1"/>
    <col min="36" max="36" width="18.375" customWidth="1"/>
    <col min="37" max="56" width="10" customWidth="1"/>
  </cols>
  <sheetData>
    <row r="1" spans="1:56" ht="16.5" customHeight="1" x14ac:dyDescent="0.3">
      <c r="A1" s="966" t="s">
        <v>2239</v>
      </c>
      <c r="B1" s="967"/>
      <c r="C1" s="967"/>
      <c r="D1" s="967"/>
      <c r="E1" s="967"/>
      <c r="F1" s="967"/>
      <c r="G1" s="967"/>
      <c r="H1" s="967"/>
      <c r="I1" s="967"/>
      <c r="J1" s="967"/>
      <c r="K1" s="967"/>
      <c r="L1" s="967"/>
      <c r="M1" s="967"/>
      <c r="N1" s="967"/>
      <c r="O1" s="967"/>
      <c r="P1" s="967"/>
      <c r="Q1" s="967"/>
      <c r="R1" s="967"/>
      <c r="S1" s="967"/>
      <c r="T1" s="967"/>
      <c r="U1" s="967"/>
      <c r="V1" s="967"/>
      <c r="W1" s="967"/>
      <c r="X1" s="967"/>
      <c r="Y1" s="967"/>
      <c r="Z1" s="967"/>
      <c r="AA1" s="967"/>
      <c r="AB1" s="967"/>
      <c r="AC1" s="967"/>
      <c r="AD1" s="967"/>
      <c r="AE1" s="967"/>
      <c r="AF1" s="967"/>
      <c r="AG1" s="967"/>
      <c r="AH1" s="967"/>
      <c r="AI1" s="967"/>
      <c r="AJ1" s="968"/>
      <c r="AK1" s="138"/>
      <c r="AL1" s="138"/>
      <c r="AM1" s="138"/>
      <c r="AN1" s="138"/>
      <c r="AO1" s="138"/>
      <c r="AP1" s="138"/>
      <c r="AQ1" s="138"/>
      <c r="AR1" s="138"/>
      <c r="AS1" s="138"/>
      <c r="AT1" s="138"/>
      <c r="AU1" s="138"/>
      <c r="AV1" s="138"/>
      <c r="AW1" s="138"/>
      <c r="AX1" s="138"/>
      <c r="AY1" s="138"/>
      <c r="AZ1" s="138"/>
      <c r="BA1" s="138"/>
      <c r="BB1" s="138"/>
      <c r="BC1" s="138"/>
      <c r="BD1" s="138"/>
    </row>
    <row r="2" spans="1:56" ht="24" customHeight="1" x14ac:dyDescent="0.3">
      <c r="A2" s="957"/>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70"/>
      <c r="AK2" s="138"/>
      <c r="AL2" s="138"/>
      <c r="AM2" s="138"/>
      <c r="AN2" s="138"/>
      <c r="AO2" s="138"/>
      <c r="AP2" s="138"/>
      <c r="AQ2" s="138"/>
      <c r="AR2" s="138"/>
      <c r="AS2" s="138"/>
      <c r="AT2" s="138"/>
      <c r="AU2" s="138"/>
      <c r="AV2" s="138"/>
      <c r="AW2" s="138"/>
      <c r="AX2" s="138"/>
      <c r="AY2" s="138"/>
      <c r="AZ2" s="138"/>
      <c r="BA2" s="138"/>
      <c r="BB2" s="138"/>
      <c r="BC2" s="138"/>
      <c r="BD2" s="138"/>
    </row>
    <row r="3" spans="1:56" ht="16.5" customHeight="1" x14ac:dyDescent="0.3">
      <c r="A3" s="179"/>
      <c r="B3" s="180"/>
      <c r="C3" s="179"/>
      <c r="D3" s="179"/>
      <c r="E3" s="138"/>
      <c r="F3" s="181"/>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row>
    <row r="4" spans="1:56" ht="26.25" customHeight="1" x14ac:dyDescent="0.3">
      <c r="A4" s="964" t="s">
        <v>2240</v>
      </c>
      <c r="B4" s="945"/>
      <c r="C4" s="971"/>
      <c r="D4" s="944"/>
      <c r="E4" s="944"/>
      <c r="F4" s="944"/>
      <c r="G4" s="944"/>
      <c r="H4" s="944"/>
      <c r="I4" s="944"/>
      <c r="J4" s="944"/>
      <c r="K4" s="944"/>
      <c r="L4" s="944"/>
      <c r="M4" s="944"/>
      <c r="N4" s="945"/>
      <c r="O4" s="972"/>
      <c r="P4" s="654"/>
      <c r="Q4" s="654"/>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row>
    <row r="5" spans="1:56" ht="30" customHeight="1" x14ac:dyDescent="0.3">
      <c r="A5" s="964" t="s">
        <v>2241</v>
      </c>
      <c r="B5" s="945"/>
      <c r="C5" s="971"/>
      <c r="D5" s="944"/>
      <c r="E5" s="944"/>
      <c r="F5" s="944"/>
      <c r="G5" s="944"/>
      <c r="H5" s="944"/>
      <c r="I5" s="944"/>
      <c r="J5" s="944"/>
      <c r="K5" s="944"/>
      <c r="L5" s="944"/>
      <c r="M5" s="944"/>
      <c r="N5" s="945"/>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row>
    <row r="6" spans="1:56" ht="49.5" customHeight="1" x14ac:dyDescent="0.3">
      <c r="A6" s="964" t="s">
        <v>2242</v>
      </c>
      <c r="B6" s="945"/>
      <c r="C6" s="965"/>
      <c r="D6" s="944"/>
      <c r="E6" s="944"/>
      <c r="F6" s="944"/>
      <c r="G6" s="944"/>
      <c r="H6" s="944"/>
      <c r="I6" s="944"/>
      <c r="J6" s="944"/>
      <c r="K6" s="944"/>
      <c r="L6" s="944"/>
      <c r="M6" s="944"/>
      <c r="N6" s="945"/>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row>
    <row r="7" spans="1:56" ht="16.5" customHeight="1" x14ac:dyDescent="0.3">
      <c r="A7" s="960" t="s">
        <v>140</v>
      </c>
      <c r="B7" s="944"/>
      <c r="C7" s="944"/>
      <c r="D7" s="944"/>
      <c r="E7" s="944"/>
      <c r="F7" s="944"/>
      <c r="G7" s="945"/>
      <c r="H7" s="960" t="s">
        <v>141</v>
      </c>
      <c r="I7" s="944"/>
      <c r="J7" s="944"/>
      <c r="K7" s="944"/>
      <c r="L7" s="944"/>
      <c r="M7" s="944"/>
      <c r="N7" s="945"/>
      <c r="O7" s="960" t="s">
        <v>142</v>
      </c>
      <c r="P7" s="944"/>
      <c r="Q7" s="944"/>
      <c r="R7" s="944"/>
      <c r="S7" s="944"/>
      <c r="T7" s="944"/>
      <c r="U7" s="944"/>
      <c r="V7" s="944"/>
      <c r="W7" s="945"/>
      <c r="X7" s="960" t="s">
        <v>143</v>
      </c>
      <c r="Y7" s="944"/>
      <c r="Z7" s="944"/>
      <c r="AA7" s="944"/>
      <c r="AB7" s="944"/>
      <c r="AC7" s="944"/>
      <c r="AD7" s="945"/>
      <c r="AE7" s="960" t="s">
        <v>2243</v>
      </c>
      <c r="AF7" s="944"/>
      <c r="AG7" s="944"/>
      <c r="AH7" s="944"/>
      <c r="AI7" s="944"/>
      <c r="AJ7" s="945"/>
      <c r="AK7" s="138"/>
      <c r="AL7" s="138"/>
      <c r="AM7" s="138"/>
      <c r="AN7" s="138"/>
      <c r="AO7" s="138"/>
      <c r="AP7" s="138"/>
      <c r="AQ7" s="138"/>
      <c r="AR7" s="138"/>
      <c r="AS7" s="138"/>
      <c r="AT7" s="138"/>
      <c r="AU7" s="138"/>
      <c r="AV7" s="138"/>
      <c r="AW7" s="138"/>
      <c r="AX7" s="138"/>
      <c r="AY7" s="138"/>
      <c r="AZ7" s="138"/>
      <c r="BA7" s="138"/>
      <c r="BB7" s="138"/>
      <c r="BC7" s="138"/>
      <c r="BD7" s="138"/>
    </row>
    <row r="8" spans="1:56" ht="16.5" customHeight="1" x14ac:dyDescent="0.3">
      <c r="A8" s="961" t="s">
        <v>166</v>
      </c>
      <c r="B8" s="962" t="s">
        <v>1</v>
      </c>
      <c r="C8" s="959" t="s">
        <v>93</v>
      </c>
      <c r="D8" s="959" t="s">
        <v>95</v>
      </c>
      <c r="E8" s="963" t="s">
        <v>97</v>
      </c>
      <c r="F8" s="954" t="s">
        <v>99</v>
      </c>
      <c r="G8" s="959" t="s">
        <v>150</v>
      </c>
      <c r="H8" s="959" t="s">
        <v>151</v>
      </c>
      <c r="I8" s="958" t="s">
        <v>152</v>
      </c>
      <c r="J8" s="954" t="s">
        <v>153</v>
      </c>
      <c r="K8" s="954" t="s">
        <v>154</v>
      </c>
      <c r="L8" s="956" t="s">
        <v>155</v>
      </c>
      <c r="M8" s="958" t="s">
        <v>152</v>
      </c>
      <c r="N8" s="959" t="s">
        <v>107</v>
      </c>
      <c r="O8" s="953" t="s">
        <v>156</v>
      </c>
      <c r="P8" s="954" t="s">
        <v>109</v>
      </c>
      <c r="Q8" s="954" t="s">
        <v>111</v>
      </c>
      <c r="R8" s="955" t="s">
        <v>157</v>
      </c>
      <c r="S8" s="944"/>
      <c r="T8" s="944"/>
      <c r="U8" s="944"/>
      <c r="V8" s="944"/>
      <c r="W8" s="945"/>
      <c r="X8" s="953" t="s">
        <v>158</v>
      </c>
      <c r="Y8" s="953" t="s">
        <v>159</v>
      </c>
      <c r="Z8" s="953" t="s">
        <v>152</v>
      </c>
      <c r="AA8" s="953" t="s">
        <v>160</v>
      </c>
      <c r="AB8" s="953" t="s">
        <v>152</v>
      </c>
      <c r="AC8" s="953" t="s">
        <v>161</v>
      </c>
      <c r="AD8" s="953" t="s">
        <v>127</v>
      </c>
      <c r="AE8" s="954" t="s">
        <v>2243</v>
      </c>
      <c r="AF8" s="954" t="s">
        <v>164</v>
      </c>
      <c r="AG8" s="954" t="s">
        <v>165</v>
      </c>
      <c r="AH8" s="954" t="s">
        <v>2244</v>
      </c>
      <c r="AI8" s="954" t="s">
        <v>2245</v>
      </c>
      <c r="AJ8" s="954" t="s">
        <v>1835</v>
      </c>
      <c r="AK8" s="138"/>
      <c r="AL8" s="138"/>
      <c r="AM8" s="138"/>
      <c r="AN8" s="138"/>
      <c r="AO8" s="138"/>
      <c r="AP8" s="138"/>
      <c r="AQ8" s="138"/>
      <c r="AR8" s="138"/>
      <c r="AS8" s="138"/>
      <c r="AT8" s="138"/>
      <c r="AU8" s="138"/>
      <c r="AV8" s="138"/>
      <c r="AW8" s="138"/>
      <c r="AX8" s="138"/>
      <c r="AY8" s="138"/>
      <c r="AZ8" s="138"/>
      <c r="BA8" s="138"/>
      <c r="BB8" s="138"/>
      <c r="BC8" s="138"/>
      <c r="BD8" s="138"/>
    </row>
    <row r="9" spans="1:56" ht="94.5" customHeight="1" x14ac:dyDescent="0.2">
      <c r="A9" s="948"/>
      <c r="B9" s="948"/>
      <c r="C9" s="948"/>
      <c r="D9" s="948"/>
      <c r="E9" s="948"/>
      <c r="F9" s="948"/>
      <c r="G9" s="948"/>
      <c r="H9" s="948"/>
      <c r="I9" s="957"/>
      <c r="J9" s="948"/>
      <c r="K9" s="948"/>
      <c r="L9" s="957"/>
      <c r="M9" s="957"/>
      <c r="N9" s="948"/>
      <c r="O9" s="948"/>
      <c r="P9" s="948"/>
      <c r="Q9" s="948"/>
      <c r="R9" s="2" t="s">
        <v>170</v>
      </c>
      <c r="S9" s="2" t="s">
        <v>171</v>
      </c>
      <c r="T9" s="2" t="s">
        <v>172</v>
      </c>
      <c r="U9" s="2" t="s">
        <v>173</v>
      </c>
      <c r="V9" s="2" t="s">
        <v>174</v>
      </c>
      <c r="W9" s="2" t="s">
        <v>175</v>
      </c>
      <c r="X9" s="948"/>
      <c r="Y9" s="948"/>
      <c r="Z9" s="948"/>
      <c r="AA9" s="948"/>
      <c r="AB9" s="948"/>
      <c r="AC9" s="948"/>
      <c r="AD9" s="948"/>
      <c r="AE9" s="948"/>
      <c r="AF9" s="948"/>
      <c r="AG9" s="948"/>
      <c r="AH9" s="948"/>
      <c r="AI9" s="948"/>
      <c r="AJ9" s="948"/>
      <c r="AK9" s="139"/>
      <c r="AL9" s="139"/>
      <c r="AM9" s="139"/>
      <c r="AN9" s="139"/>
      <c r="AO9" s="139"/>
      <c r="AP9" s="139"/>
      <c r="AQ9" s="139"/>
      <c r="AR9" s="139"/>
      <c r="AS9" s="139"/>
      <c r="AT9" s="139"/>
      <c r="AU9" s="139"/>
      <c r="AV9" s="139"/>
      <c r="AW9" s="139"/>
      <c r="AX9" s="139"/>
      <c r="AY9" s="139"/>
      <c r="AZ9" s="139"/>
      <c r="BA9" s="139"/>
      <c r="BB9" s="139"/>
      <c r="BC9" s="139"/>
      <c r="BD9" s="139"/>
    </row>
    <row r="10" spans="1:56" ht="167.25" customHeight="1" x14ac:dyDescent="0.2">
      <c r="A10" s="951">
        <v>1</v>
      </c>
      <c r="B10" s="952" t="s">
        <v>234</v>
      </c>
      <c r="C10" s="952"/>
      <c r="D10" s="952"/>
      <c r="E10" s="952"/>
      <c r="F10" s="952" t="s">
        <v>1029</v>
      </c>
      <c r="G10" s="951">
        <v>501</v>
      </c>
      <c r="H10" s="949" t="str">
        <f>IF(G10&lt;=0,"",IF(G10&lt;=2,"Muy Baja",IF(G10&lt;=24,"Baja",IF(G10&lt;=500,"Media",IF(G10&lt;=5000,"Alta","Muy Alta")))))</f>
        <v>Alta</v>
      </c>
      <c r="I10" s="946">
        <f>IF(H10="","",IF(H10="Muy Baja",0.2,IF(H10="Baja",0.4,IF(H10="Media",0.6,IF(H10="Alta",0.8,IF(H10="Muy Alta",1,))))))</f>
        <v>0.8</v>
      </c>
      <c r="J10" s="946" t="s">
        <v>214</v>
      </c>
      <c r="K10" s="946" t="str">
        <f>IF(NOT(ISERROR(MATCH(J10,'Tabla Impacto'!$B$222:$B$224,0))),'Tabla Impacto'!$F$224&amp;"Por favor no seleccionar los criterios de impacto(Afectación Económica o presupuestal y Pérdida Reputacional)",J10)</f>
        <v xml:space="preserve">     El riesgo afecta la imagen de la entidad con algunos usuarios de relevancia frente al logro de los objetivos</v>
      </c>
      <c r="L10" s="949" t="str">
        <f>IF(OR(K10='Tabla Impacto'!$C$12,K10='Tabla Impacto'!$D$12),"Leve",IF(OR(K10='Tabla Impacto'!$C$13,K10='Tabla Impacto'!$D$13),"Menor",IF(OR(K10='Tabla Impacto'!$C$14,K10='Tabla Impacto'!$D$14),"Moderado",IF(OR(K10='Tabla Impacto'!$C$15,K10='Tabla Impacto'!$D$15),"Mayor",IF(OR(K10='Tabla Impacto'!$C$16,K10='Tabla Impacto'!$D$16),"Catastrófico","")))))</f>
        <v>Moderado</v>
      </c>
      <c r="M10" s="946">
        <f>IF(L10="","",IF(L10="Leve",0.2,IF(L10="Menor",0.4,IF(L10="Moderado",0.6,IF(L10="Mayor",0.8,IF(L10="Catastrófico",1,))))))</f>
        <v>0.6</v>
      </c>
      <c r="N10" s="950"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3">
        <v>1</v>
      </c>
      <c r="P10" s="11" t="s">
        <v>2246</v>
      </c>
      <c r="Q10" s="3" t="str">
        <f t="shared" ref="Q10:Q69" si="0">IF(OR(R10="Preventivo",R10="Detectivo"),"Probabilidad",IF(R10="Correctivo","Impacto",""))</f>
        <v>Probabilidad</v>
      </c>
      <c r="R10" s="9" t="s">
        <v>228</v>
      </c>
      <c r="S10" s="9" t="s">
        <v>341</v>
      </c>
      <c r="T10" s="4" t="str">
        <f t="shared" ref="T10:T69" si="1">IF(AND(R10="Preventivo",S10="Automático"),"50%",IF(AND(R10="Preventivo",S10="Manual"),"40%",IF(AND(R10="Detectivo",S10="Automático"),"40%",IF(AND(R10="Detectivo",S10="Manual"),"30%",IF(AND(R10="Correctivo",S10="Automático"),"35%",IF(AND(R10="Correctivo",S10="Manual"),"25%",""))))))</f>
        <v>40%</v>
      </c>
      <c r="U10" s="9"/>
      <c r="V10" s="9"/>
      <c r="W10" s="9"/>
      <c r="X10" s="5">
        <f>IFERROR(IF(Q10="Probabilidad",(I10-(+I10*T10)),IF(Q10="Impacto",I10,"")),"")</f>
        <v>0.48</v>
      </c>
      <c r="Y10" s="6" t="str">
        <f t="shared" ref="Y10:Y69" si="2">IFERROR(IF(X10="","",IF(X10&lt;=0.2,"Muy Baja",IF(X10&lt;=0.4,"Baja",IF(X10&lt;=0.6,"Media",IF(X10&lt;=0.8,"Alta","Muy Alta"))))),"")</f>
        <v>Media</v>
      </c>
      <c r="Z10" s="7">
        <f t="shared" ref="Z10:Z69" si="3">+X10</f>
        <v>0.48</v>
      </c>
      <c r="AA10" s="6" t="str">
        <f t="shared" ref="AA10:AA69" si="4">IFERROR(IF(AB10="","",IF(AB10&lt;=0.2,"Leve",IF(AB10&lt;=0.4,"Menor",IF(AB10&lt;=0.6,"Moderado",IF(AB10&lt;=0.8,"Mayor","Catastrófico"))))),"")</f>
        <v>Moderado</v>
      </c>
      <c r="AB10" s="7">
        <f>IFERROR(IF(Q10="Impacto",(M10-(+M10*T10)),IF(Q10="Probabilidad",M10,"")),"")</f>
        <v>0.6</v>
      </c>
      <c r="AC10" s="8" t="str">
        <f t="shared" ref="AC10:AC69" si="5">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10"/>
      <c r="AE10" s="18"/>
      <c r="AF10" s="3"/>
      <c r="AG10" s="17"/>
      <c r="AH10" s="17"/>
      <c r="AI10" s="18"/>
      <c r="AJ10" s="3"/>
      <c r="AK10" s="140"/>
      <c r="AL10" s="140"/>
      <c r="AM10" s="140"/>
      <c r="AN10" s="140"/>
      <c r="AO10" s="140"/>
      <c r="AP10" s="140"/>
      <c r="AQ10" s="140"/>
      <c r="AR10" s="140"/>
      <c r="AS10" s="140"/>
      <c r="AT10" s="140"/>
      <c r="AU10" s="140"/>
      <c r="AV10" s="140"/>
      <c r="AW10" s="140"/>
      <c r="AX10" s="140"/>
      <c r="AY10" s="140"/>
      <c r="AZ10" s="140"/>
      <c r="BA10" s="140"/>
      <c r="BB10" s="140"/>
      <c r="BC10" s="140"/>
      <c r="BD10" s="140"/>
    </row>
    <row r="11" spans="1:56" ht="151.5" customHeight="1" x14ac:dyDescent="0.3">
      <c r="A11" s="947"/>
      <c r="B11" s="947"/>
      <c r="C11" s="947"/>
      <c r="D11" s="947"/>
      <c r="E11" s="947"/>
      <c r="F11" s="947"/>
      <c r="G11" s="947"/>
      <c r="H11" s="947"/>
      <c r="I11" s="947"/>
      <c r="J11" s="947"/>
      <c r="K11" s="947"/>
      <c r="L11" s="947"/>
      <c r="M11" s="947"/>
      <c r="N11" s="947"/>
      <c r="O11" s="3">
        <v>2</v>
      </c>
      <c r="P11" s="11"/>
      <c r="Q11" s="3" t="str">
        <f t="shared" si="0"/>
        <v>Impacto</v>
      </c>
      <c r="R11" s="9" t="s">
        <v>209</v>
      </c>
      <c r="S11" s="9" t="s">
        <v>341</v>
      </c>
      <c r="T11" s="4" t="str">
        <f t="shared" si="1"/>
        <v>35%</v>
      </c>
      <c r="U11" s="9"/>
      <c r="V11" s="9"/>
      <c r="W11" s="9"/>
      <c r="X11" s="5">
        <f>IFERROR(IF(AND(Q10="Probabilidad",Q11="Probabilidad"),(Z10-(+Z10*T11)),IF(Q11="Probabilidad",(I10-(+I10*T11)),IF(Q11="Impacto",Z10,""))),"")</f>
        <v>0.48</v>
      </c>
      <c r="Y11" s="6" t="str">
        <f t="shared" si="2"/>
        <v>Media</v>
      </c>
      <c r="Z11" s="7">
        <f t="shared" si="3"/>
        <v>0.48</v>
      </c>
      <c r="AA11" s="6" t="str">
        <f t="shared" si="4"/>
        <v>Menor</v>
      </c>
      <c r="AB11" s="7">
        <f>IFERROR(IF(AND(Q10="Impacto",Q11="Impacto"),(AB10-(+AB10*T11)),IF(Q11="Impacto",($M$10-(+$M$10*T11)),IF(Q11="Probabilidad",AB10,""))),"")</f>
        <v>0.39</v>
      </c>
      <c r="AC11" s="8" t="str">
        <f t="shared" si="5"/>
        <v>Moderado</v>
      </c>
      <c r="AD11" s="10"/>
      <c r="AE11" s="18"/>
      <c r="AF11" s="3"/>
      <c r="AG11" s="17"/>
      <c r="AH11" s="17"/>
      <c r="AI11" s="18"/>
      <c r="AJ11" s="3"/>
      <c r="AK11" s="138"/>
      <c r="AL11" s="138"/>
      <c r="AM11" s="138"/>
      <c r="AN11" s="138"/>
      <c r="AO11" s="138"/>
      <c r="AP11" s="138"/>
      <c r="AQ11" s="138"/>
      <c r="AR11" s="138"/>
      <c r="AS11" s="138"/>
      <c r="AT11" s="138"/>
      <c r="AU11" s="138"/>
      <c r="AV11" s="138"/>
      <c r="AW11" s="138"/>
      <c r="AX11" s="138"/>
      <c r="AY11" s="138"/>
      <c r="AZ11" s="138"/>
      <c r="BA11" s="138"/>
      <c r="BB11" s="138"/>
      <c r="BC11" s="138"/>
      <c r="BD11" s="138"/>
    </row>
    <row r="12" spans="1:56" ht="151.5" customHeight="1" x14ac:dyDescent="0.3">
      <c r="A12" s="947"/>
      <c r="B12" s="947"/>
      <c r="C12" s="947"/>
      <c r="D12" s="947"/>
      <c r="E12" s="947"/>
      <c r="F12" s="947"/>
      <c r="G12" s="947"/>
      <c r="H12" s="947"/>
      <c r="I12" s="947"/>
      <c r="J12" s="947"/>
      <c r="K12" s="947"/>
      <c r="L12" s="947"/>
      <c r="M12" s="947"/>
      <c r="N12" s="947"/>
      <c r="O12" s="3">
        <v>3</v>
      </c>
      <c r="P12" s="12"/>
      <c r="Q12" s="3" t="str">
        <f t="shared" si="0"/>
        <v>Probabilidad</v>
      </c>
      <c r="R12" s="9" t="s">
        <v>187</v>
      </c>
      <c r="S12" s="9" t="s">
        <v>188</v>
      </c>
      <c r="T12" s="4" t="str">
        <f t="shared" si="1"/>
        <v>40%</v>
      </c>
      <c r="U12" s="9"/>
      <c r="V12" s="9"/>
      <c r="W12" s="9"/>
      <c r="X12" s="5">
        <f>IFERROR(IF(AND(Q11="Probabilidad",Q12="Probabilidad"),(Z11-(+Z11*T12)),IF(AND(Q11="Impacto",Q12="Probabilidad"),(Z10-(+Z10*T12)),IF(Q12="Impacto",Z11,""))),"")</f>
        <v>0.28799999999999998</v>
      </c>
      <c r="Y12" s="6" t="str">
        <f t="shared" si="2"/>
        <v>Baja</v>
      </c>
      <c r="Z12" s="7">
        <f t="shared" si="3"/>
        <v>0.28799999999999998</v>
      </c>
      <c r="AA12" s="6" t="str">
        <f t="shared" si="4"/>
        <v>Menor</v>
      </c>
      <c r="AB12" s="7">
        <f>IFERROR(IF(AND(Q11="Impacto",Q12="Impacto"),(AB11-(+AB11*T12)),IF(AND(Q11="Probabilidad",Q12="Impacto"),(AB10-(+AB10*T12)),IF(Q12="Probabilidad",AB11,""))),"")</f>
        <v>0.39</v>
      </c>
      <c r="AC12" s="8" t="str">
        <f t="shared" si="5"/>
        <v>Moderado</v>
      </c>
      <c r="AD12" s="10"/>
      <c r="AE12" s="18"/>
      <c r="AF12" s="3"/>
      <c r="AG12" s="17"/>
      <c r="AH12" s="17"/>
      <c r="AI12" s="18"/>
      <c r="AJ12" s="3"/>
      <c r="AK12" s="138"/>
      <c r="AL12" s="138"/>
      <c r="AM12" s="138"/>
      <c r="AN12" s="138"/>
      <c r="AO12" s="138"/>
      <c r="AP12" s="138"/>
      <c r="AQ12" s="138"/>
      <c r="AR12" s="138"/>
      <c r="AS12" s="138"/>
      <c r="AT12" s="138"/>
      <c r="AU12" s="138"/>
      <c r="AV12" s="138"/>
      <c r="AW12" s="138"/>
      <c r="AX12" s="138"/>
      <c r="AY12" s="138"/>
      <c r="AZ12" s="138"/>
      <c r="BA12" s="138"/>
      <c r="BB12" s="138"/>
      <c r="BC12" s="138"/>
      <c r="BD12" s="138"/>
    </row>
    <row r="13" spans="1:56" ht="151.5" customHeight="1" x14ac:dyDescent="0.3">
      <c r="A13" s="947"/>
      <c r="B13" s="947"/>
      <c r="C13" s="947"/>
      <c r="D13" s="947"/>
      <c r="E13" s="947"/>
      <c r="F13" s="947"/>
      <c r="G13" s="947"/>
      <c r="H13" s="947"/>
      <c r="I13" s="947"/>
      <c r="J13" s="947"/>
      <c r="K13" s="947"/>
      <c r="L13" s="947"/>
      <c r="M13" s="947"/>
      <c r="N13" s="947"/>
      <c r="O13" s="3">
        <v>4</v>
      </c>
      <c r="P13" s="11"/>
      <c r="Q13" s="3" t="str">
        <f t="shared" si="0"/>
        <v/>
      </c>
      <c r="R13" s="9"/>
      <c r="S13" s="9"/>
      <c r="T13" s="4" t="str">
        <f t="shared" si="1"/>
        <v/>
      </c>
      <c r="U13" s="9"/>
      <c r="V13" s="9"/>
      <c r="W13" s="9"/>
      <c r="X13" s="5" t="str">
        <f>IFERROR(IF(AND(Q12="Probabilidad",Q13="Probabilidad"),(Z12-(+Z12*T13)),IF(AND(Q12="Impacto",Q13="Probabilidad"),(Z11-(+Z11*T13)),IF(Q13="Impacto",Z12,""))),"")</f>
        <v/>
      </c>
      <c r="Y13" s="6" t="str">
        <f t="shared" si="2"/>
        <v/>
      </c>
      <c r="Z13" s="7" t="str">
        <f t="shared" si="3"/>
        <v/>
      </c>
      <c r="AA13" s="6" t="str">
        <f t="shared" si="4"/>
        <v/>
      </c>
      <c r="AB13" s="7" t="str">
        <f>IFERROR(IF(AND(Q12="Impacto",Q13="Impacto"),(AB12-(+AB12*T13)),IF(AND(Q12="Probabilidad",Q13="Impacto"),(AB11-(+AB11*T13)),IF(Q13="Probabilidad",AB12,""))),"")</f>
        <v/>
      </c>
      <c r="AC13" s="8" t="str">
        <f t="shared" si="5"/>
        <v/>
      </c>
      <c r="AD13" s="10"/>
      <c r="AE13" s="18"/>
      <c r="AF13" s="3"/>
      <c r="AG13" s="17"/>
      <c r="AH13" s="17"/>
      <c r="AI13" s="18"/>
      <c r="AJ13" s="3"/>
      <c r="AK13" s="138"/>
      <c r="AL13" s="138"/>
      <c r="AM13" s="138"/>
      <c r="AN13" s="138"/>
      <c r="AO13" s="138"/>
      <c r="AP13" s="138"/>
      <c r="AQ13" s="138"/>
      <c r="AR13" s="138"/>
      <c r="AS13" s="138"/>
      <c r="AT13" s="138"/>
      <c r="AU13" s="138"/>
      <c r="AV13" s="138"/>
      <c r="AW13" s="138"/>
      <c r="AX13" s="138"/>
      <c r="AY13" s="138"/>
      <c r="AZ13" s="138"/>
      <c r="BA13" s="138"/>
      <c r="BB13" s="138"/>
      <c r="BC13" s="138"/>
      <c r="BD13" s="138"/>
    </row>
    <row r="14" spans="1:56" ht="151.5" customHeight="1" x14ac:dyDescent="0.3">
      <c r="A14" s="947"/>
      <c r="B14" s="947"/>
      <c r="C14" s="947"/>
      <c r="D14" s="947"/>
      <c r="E14" s="947"/>
      <c r="F14" s="947"/>
      <c r="G14" s="947"/>
      <c r="H14" s="947"/>
      <c r="I14" s="947"/>
      <c r="J14" s="947"/>
      <c r="K14" s="947"/>
      <c r="L14" s="947"/>
      <c r="M14" s="947"/>
      <c r="N14" s="947"/>
      <c r="O14" s="3">
        <v>5</v>
      </c>
      <c r="P14" s="11"/>
      <c r="Q14" s="3" t="str">
        <f t="shared" si="0"/>
        <v/>
      </c>
      <c r="R14" s="9"/>
      <c r="S14" s="9"/>
      <c r="T14" s="4" t="str">
        <f t="shared" si="1"/>
        <v/>
      </c>
      <c r="U14" s="9"/>
      <c r="V14" s="9"/>
      <c r="W14" s="9"/>
      <c r="X14" s="5" t="str">
        <f>IFERROR(IF(AND(Q13="Probabilidad",Q14="Probabilidad"),(Z13-(+Z13*T14)),IF(AND(Q13="Impacto",Q14="Probabilidad"),(Z12-(+Z12*T14)),IF(Q14="Impacto",Z13,""))),"")</f>
        <v/>
      </c>
      <c r="Y14" s="6" t="str">
        <f t="shared" si="2"/>
        <v/>
      </c>
      <c r="Z14" s="7" t="str">
        <f t="shared" si="3"/>
        <v/>
      </c>
      <c r="AA14" s="6" t="str">
        <f t="shared" si="4"/>
        <v/>
      </c>
      <c r="AB14" s="7" t="str">
        <f>IFERROR(IF(AND(Q13="Impacto",Q14="Impacto"),(AB13-(+AB13*T14)),IF(AND(Q13="Probabilidad",Q14="Impacto"),(AB12-(+AB12*T14)),IF(Q14="Probabilidad",AB13,""))),"")</f>
        <v/>
      </c>
      <c r="AC14" s="8" t="str">
        <f t="shared" si="5"/>
        <v/>
      </c>
      <c r="AD14" s="10"/>
      <c r="AE14" s="18"/>
      <c r="AF14" s="3"/>
      <c r="AG14" s="17"/>
      <c r="AH14" s="17"/>
      <c r="AI14" s="18"/>
      <c r="AJ14" s="3"/>
      <c r="AK14" s="138"/>
      <c r="AL14" s="138"/>
      <c r="AM14" s="138"/>
      <c r="AN14" s="138"/>
      <c r="AO14" s="138"/>
      <c r="AP14" s="138"/>
      <c r="AQ14" s="138"/>
      <c r="AR14" s="138"/>
      <c r="AS14" s="138"/>
      <c r="AT14" s="138"/>
      <c r="AU14" s="138"/>
      <c r="AV14" s="138"/>
      <c r="AW14" s="138"/>
      <c r="AX14" s="138"/>
      <c r="AY14" s="138"/>
      <c r="AZ14" s="138"/>
      <c r="BA14" s="138"/>
      <c r="BB14" s="138"/>
      <c r="BC14" s="138"/>
      <c r="BD14" s="138"/>
    </row>
    <row r="15" spans="1:56" ht="151.5" customHeight="1" x14ac:dyDescent="0.3">
      <c r="A15" s="948"/>
      <c r="B15" s="948"/>
      <c r="C15" s="948"/>
      <c r="D15" s="948"/>
      <c r="E15" s="948"/>
      <c r="F15" s="948"/>
      <c r="G15" s="948"/>
      <c r="H15" s="948"/>
      <c r="I15" s="948"/>
      <c r="J15" s="948"/>
      <c r="K15" s="948"/>
      <c r="L15" s="948"/>
      <c r="M15" s="948"/>
      <c r="N15" s="948"/>
      <c r="O15" s="3">
        <v>6</v>
      </c>
      <c r="P15" s="11"/>
      <c r="Q15" s="3" t="str">
        <f t="shared" si="0"/>
        <v/>
      </c>
      <c r="R15" s="9"/>
      <c r="S15" s="9"/>
      <c r="T15" s="4" t="str">
        <f t="shared" si="1"/>
        <v/>
      </c>
      <c r="U15" s="9"/>
      <c r="V15" s="9"/>
      <c r="W15" s="9"/>
      <c r="X15" s="5" t="str">
        <f>IFERROR(IF(AND(Q14="Probabilidad",Q15="Probabilidad"),(Z14-(+Z14*T15)),IF(AND(Q14="Impacto",Q15="Probabilidad"),(Z13-(+Z13*T15)),IF(Q15="Impacto",Z14,""))),"")</f>
        <v/>
      </c>
      <c r="Y15" s="6" t="str">
        <f t="shared" si="2"/>
        <v/>
      </c>
      <c r="Z15" s="7" t="str">
        <f t="shared" si="3"/>
        <v/>
      </c>
      <c r="AA15" s="6" t="str">
        <f t="shared" si="4"/>
        <v/>
      </c>
      <c r="AB15" s="7" t="str">
        <f>IFERROR(IF(AND(Q14="Impacto",Q15="Impacto"),(AB14-(+AB14*T15)),IF(AND(Q14="Probabilidad",Q15="Impacto"),(AB13-(+AB13*T15)),IF(Q15="Probabilidad",AB14,""))),"")</f>
        <v/>
      </c>
      <c r="AC15" s="8" t="str">
        <f t="shared" si="5"/>
        <v/>
      </c>
      <c r="AD15" s="10"/>
      <c r="AE15" s="18"/>
      <c r="AF15" s="3"/>
      <c r="AG15" s="17"/>
      <c r="AH15" s="17"/>
      <c r="AI15" s="18"/>
      <c r="AJ15" s="3"/>
      <c r="AK15" s="138"/>
      <c r="AL15" s="138"/>
      <c r="AM15" s="138"/>
      <c r="AN15" s="138"/>
      <c r="AO15" s="138"/>
      <c r="AP15" s="138"/>
      <c r="AQ15" s="138"/>
      <c r="AR15" s="138"/>
      <c r="AS15" s="138"/>
      <c r="AT15" s="138"/>
      <c r="AU15" s="138"/>
      <c r="AV15" s="138"/>
      <c r="AW15" s="138"/>
      <c r="AX15" s="138"/>
      <c r="AY15" s="138"/>
      <c r="AZ15" s="138"/>
      <c r="BA15" s="138"/>
      <c r="BB15" s="138"/>
      <c r="BC15" s="138"/>
      <c r="BD15" s="138"/>
    </row>
    <row r="16" spans="1:56" ht="151.5" customHeight="1" x14ac:dyDescent="0.3">
      <c r="A16" s="951">
        <v>2</v>
      </c>
      <c r="B16" s="952"/>
      <c r="C16" s="952"/>
      <c r="D16" s="952"/>
      <c r="E16" s="952"/>
      <c r="F16" s="952"/>
      <c r="G16" s="951"/>
      <c r="H16" s="949" t="str">
        <f>IF(G16&lt;=0,"",IF(G16&lt;=2,"Muy Baja",IF(G16&lt;=24,"Baja",IF(G16&lt;=500,"Media",IF(G16&lt;=5000,"Alta","Muy Alta")))))</f>
        <v/>
      </c>
      <c r="I16" s="946" t="str">
        <f>IF(H16="","",IF(H16="Muy Baja",0.2,IF(H16="Baja",0.4,IF(H16="Media",0.6,IF(H16="Alta",0.8,IF(H16="Muy Alta",1,))))))</f>
        <v/>
      </c>
      <c r="J16" s="946"/>
      <c r="K16" s="946" t="str">
        <f>IF(NOT(ISERROR(MATCH(J16,'Tabla Impacto'!$B$222:$B$224,0))),'Tabla Impacto'!$F$224&amp;"Por favor no seleccionar los criterios de impacto(Afectación Económica o presupuestal y Pérdida Reputacional)",J16)</f>
        <v>❌Por favor no seleccionar los criterios de impacto(Afectación Económica o presupuestal y Pérdida Reputacional)</v>
      </c>
      <c r="L16" s="949" t="str">
        <f>IF(OR(K16='Tabla Impacto'!$C$12,K16='Tabla Impacto'!$D$12),"Leve",IF(OR(K16='Tabla Impacto'!$C$13,K16='Tabla Impacto'!$D$13),"Menor",IF(OR(K16='Tabla Impacto'!$C$14,K16='Tabla Impacto'!$D$14),"Moderado",IF(OR(K16='Tabla Impacto'!$C$15,K16='Tabla Impacto'!$D$15),"Mayor",IF(OR(K16='Tabla Impacto'!$C$16,K16='Tabla Impacto'!$D$16),"Catastrófico","")))))</f>
        <v/>
      </c>
      <c r="M16" s="946" t="str">
        <f>IF(L16="","",IF(L16="Leve",0.2,IF(L16="Menor",0.4,IF(L16="Moderado",0.6,IF(L16="Mayor",0.8,IF(L16="Catastrófico",1,))))))</f>
        <v/>
      </c>
      <c r="N16" s="950"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
        <v>1</v>
      </c>
      <c r="P16" s="11"/>
      <c r="Q16" s="3" t="str">
        <f t="shared" si="0"/>
        <v/>
      </c>
      <c r="R16" s="9"/>
      <c r="S16" s="9"/>
      <c r="T16" s="4" t="str">
        <f t="shared" si="1"/>
        <v/>
      </c>
      <c r="U16" s="9"/>
      <c r="V16" s="9"/>
      <c r="W16" s="9"/>
      <c r="X16" s="5" t="str">
        <f>IFERROR(IF(Q16="Probabilidad",(I16-(+I16*T16)),IF(Q16="Impacto",I16,"")),"")</f>
        <v/>
      </c>
      <c r="Y16" s="6" t="str">
        <f t="shared" si="2"/>
        <v/>
      </c>
      <c r="Z16" s="7" t="str">
        <f t="shared" si="3"/>
        <v/>
      </c>
      <c r="AA16" s="6" t="str">
        <f t="shared" si="4"/>
        <v/>
      </c>
      <c r="AB16" s="7" t="str">
        <f>IFERROR(IF(Q16="Impacto",(M16-(+M16*T16)),IF(Q16="Probabilidad",M16,"")),"")</f>
        <v/>
      </c>
      <c r="AC16" s="8" t="str">
        <f t="shared" si="5"/>
        <v/>
      </c>
      <c r="AD16" s="10"/>
      <c r="AE16" s="18"/>
      <c r="AF16" s="3"/>
      <c r="AG16" s="17"/>
      <c r="AH16" s="17"/>
      <c r="AI16" s="18"/>
      <c r="AJ16" s="3"/>
      <c r="AK16" s="138"/>
      <c r="AL16" s="138"/>
      <c r="AM16" s="138"/>
      <c r="AN16" s="138"/>
      <c r="AO16" s="138"/>
      <c r="AP16" s="138"/>
      <c r="AQ16" s="138"/>
      <c r="AR16" s="138"/>
      <c r="AS16" s="138"/>
      <c r="AT16" s="138"/>
      <c r="AU16" s="138"/>
      <c r="AV16" s="138"/>
      <c r="AW16" s="138"/>
      <c r="AX16" s="138"/>
      <c r="AY16" s="138"/>
      <c r="AZ16" s="138"/>
      <c r="BA16" s="138"/>
      <c r="BB16" s="138"/>
      <c r="BC16" s="138"/>
      <c r="BD16" s="138"/>
    </row>
    <row r="17" spans="1:56" ht="151.5" customHeight="1" x14ac:dyDescent="0.3">
      <c r="A17" s="947"/>
      <c r="B17" s="947"/>
      <c r="C17" s="947"/>
      <c r="D17" s="947"/>
      <c r="E17" s="947"/>
      <c r="F17" s="947"/>
      <c r="G17" s="947"/>
      <c r="H17" s="947"/>
      <c r="I17" s="947"/>
      <c r="J17" s="947"/>
      <c r="K17" s="947"/>
      <c r="L17" s="947"/>
      <c r="M17" s="947"/>
      <c r="N17" s="947"/>
      <c r="O17" s="3">
        <v>2</v>
      </c>
      <c r="P17" s="11"/>
      <c r="Q17" s="3" t="str">
        <f t="shared" si="0"/>
        <v/>
      </c>
      <c r="R17" s="9"/>
      <c r="S17" s="9"/>
      <c r="T17" s="4" t="str">
        <f t="shared" si="1"/>
        <v/>
      </c>
      <c r="U17" s="9"/>
      <c r="V17" s="9"/>
      <c r="W17" s="9"/>
      <c r="X17" s="5" t="str">
        <f>IFERROR(IF(AND(Q16="Probabilidad",Q17="Probabilidad"),(Z16-(+Z16*T17)),IF(Q17="Probabilidad",(I16-(+I16*T17)),IF(Q17="Impacto",Z16,""))),"")</f>
        <v/>
      </c>
      <c r="Y17" s="6" t="str">
        <f t="shared" si="2"/>
        <v/>
      </c>
      <c r="Z17" s="7" t="str">
        <f t="shared" si="3"/>
        <v/>
      </c>
      <c r="AA17" s="6" t="str">
        <f t="shared" si="4"/>
        <v/>
      </c>
      <c r="AB17" s="7" t="str">
        <f>IFERROR(IF(AND(Q16="Impacto",Q17="Impacto"),(AB10-(+AB10*T17)),IF(Q17="Impacto",($M$16-(+$M$16*T17)),IF(Q17="Probabilidad",AB10,""))),"")</f>
        <v/>
      </c>
      <c r="AC17" s="8" t="str">
        <f t="shared" si="5"/>
        <v/>
      </c>
      <c r="AD17" s="10"/>
      <c r="AE17" s="18"/>
      <c r="AF17" s="3"/>
      <c r="AG17" s="17"/>
      <c r="AH17" s="17"/>
      <c r="AI17" s="18"/>
      <c r="AJ17" s="3"/>
      <c r="AK17" s="138"/>
      <c r="AL17" s="138"/>
      <c r="AM17" s="138"/>
      <c r="AN17" s="138"/>
      <c r="AO17" s="138"/>
      <c r="AP17" s="138"/>
      <c r="AQ17" s="138"/>
      <c r="AR17" s="138"/>
      <c r="AS17" s="138"/>
      <c r="AT17" s="138"/>
      <c r="AU17" s="138"/>
      <c r="AV17" s="138"/>
      <c r="AW17" s="138"/>
      <c r="AX17" s="138"/>
      <c r="AY17" s="138"/>
      <c r="AZ17" s="138"/>
      <c r="BA17" s="138"/>
      <c r="BB17" s="138"/>
      <c r="BC17" s="138"/>
      <c r="BD17" s="138"/>
    </row>
    <row r="18" spans="1:56" ht="151.5" customHeight="1" x14ac:dyDescent="0.3">
      <c r="A18" s="947"/>
      <c r="B18" s="947"/>
      <c r="C18" s="947"/>
      <c r="D18" s="947"/>
      <c r="E18" s="947"/>
      <c r="F18" s="947"/>
      <c r="G18" s="947"/>
      <c r="H18" s="947"/>
      <c r="I18" s="947"/>
      <c r="J18" s="947"/>
      <c r="K18" s="947"/>
      <c r="L18" s="947"/>
      <c r="M18" s="947"/>
      <c r="N18" s="947"/>
      <c r="O18" s="3">
        <v>3</v>
      </c>
      <c r="P18" s="12"/>
      <c r="Q18" s="3" t="str">
        <f t="shared" si="0"/>
        <v/>
      </c>
      <c r="R18" s="9"/>
      <c r="S18" s="9"/>
      <c r="T18" s="4" t="str">
        <f t="shared" si="1"/>
        <v/>
      </c>
      <c r="U18" s="9"/>
      <c r="V18" s="9"/>
      <c r="W18" s="9"/>
      <c r="X18" s="5" t="str">
        <f>IFERROR(IF(AND(Q17="Probabilidad",Q18="Probabilidad"),(Z17-(+Z17*T18)),IF(AND(Q17="Impacto",Q18="Probabilidad"),(Z16-(+Z16*T18)),IF(Q18="Impacto",Z17,""))),"")</f>
        <v/>
      </c>
      <c r="Y18" s="6" t="str">
        <f t="shared" si="2"/>
        <v/>
      </c>
      <c r="Z18" s="7" t="str">
        <f t="shared" si="3"/>
        <v/>
      </c>
      <c r="AA18" s="6" t="str">
        <f t="shared" si="4"/>
        <v/>
      </c>
      <c r="AB18" s="7" t="str">
        <f>IFERROR(IF(AND(Q17="Impacto",Q18="Impacto"),(AB17-(+AB17*T18)),IF(AND(Q17="Probabilidad",Q18="Impacto"),(AB16-(+AB16*T18)),IF(Q18="Probabilidad",AB17,""))),"")</f>
        <v/>
      </c>
      <c r="AC18" s="8" t="str">
        <f t="shared" si="5"/>
        <v/>
      </c>
      <c r="AD18" s="10"/>
      <c r="AE18" s="18"/>
      <c r="AF18" s="3"/>
      <c r="AG18" s="17"/>
      <c r="AH18" s="17"/>
      <c r="AI18" s="18"/>
      <c r="AJ18" s="3"/>
      <c r="AK18" s="138"/>
      <c r="AL18" s="138"/>
      <c r="AM18" s="138"/>
      <c r="AN18" s="138"/>
      <c r="AO18" s="138"/>
      <c r="AP18" s="138"/>
      <c r="AQ18" s="138"/>
      <c r="AR18" s="138"/>
      <c r="AS18" s="138"/>
      <c r="AT18" s="138"/>
      <c r="AU18" s="138"/>
      <c r="AV18" s="138"/>
      <c r="AW18" s="138"/>
      <c r="AX18" s="138"/>
      <c r="AY18" s="138"/>
      <c r="AZ18" s="138"/>
      <c r="BA18" s="138"/>
      <c r="BB18" s="138"/>
      <c r="BC18" s="138"/>
      <c r="BD18" s="138"/>
    </row>
    <row r="19" spans="1:56" ht="151.5" customHeight="1" x14ac:dyDescent="0.3">
      <c r="A19" s="947"/>
      <c r="B19" s="947"/>
      <c r="C19" s="947"/>
      <c r="D19" s="947"/>
      <c r="E19" s="947"/>
      <c r="F19" s="947"/>
      <c r="G19" s="947"/>
      <c r="H19" s="947"/>
      <c r="I19" s="947"/>
      <c r="J19" s="947"/>
      <c r="K19" s="947"/>
      <c r="L19" s="947"/>
      <c r="M19" s="947"/>
      <c r="N19" s="947"/>
      <c r="O19" s="3">
        <v>4</v>
      </c>
      <c r="P19" s="11"/>
      <c r="Q19" s="3" t="str">
        <f t="shared" si="0"/>
        <v/>
      </c>
      <c r="R19" s="9"/>
      <c r="S19" s="9"/>
      <c r="T19" s="4" t="str">
        <f t="shared" si="1"/>
        <v/>
      </c>
      <c r="U19" s="9"/>
      <c r="V19" s="9"/>
      <c r="W19" s="9"/>
      <c r="X19" s="5" t="str">
        <f>IFERROR(IF(AND(Q18="Probabilidad",Q19="Probabilidad"),(Z18-(+Z18*T19)),IF(AND(Q18="Impacto",Q19="Probabilidad"),(Z17-(+Z17*T19)),IF(Q19="Impacto",Z18,""))),"")</f>
        <v/>
      </c>
      <c r="Y19" s="6" t="str">
        <f t="shared" si="2"/>
        <v/>
      </c>
      <c r="Z19" s="7" t="str">
        <f t="shared" si="3"/>
        <v/>
      </c>
      <c r="AA19" s="6" t="str">
        <f t="shared" si="4"/>
        <v/>
      </c>
      <c r="AB19" s="7" t="str">
        <f>IFERROR(IF(AND(Q18="Impacto",Q19="Impacto"),(AB18-(+AB18*T19)),IF(AND(Q18="Probabilidad",Q19="Impacto"),(AB17-(+AB17*T19)),IF(Q19="Probabilidad",AB18,""))),"")</f>
        <v/>
      </c>
      <c r="AC19" s="8" t="str">
        <f t="shared" si="5"/>
        <v/>
      </c>
      <c r="AD19" s="10"/>
      <c r="AE19" s="18"/>
      <c r="AF19" s="3"/>
      <c r="AG19" s="17"/>
      <c r="AH19" s="17"/>
      <c r="AI19" s="18"/>
      <c r="AJ19" s="3"/>
      <c r="AK19" s="138"/>
      <c r="AL19" s="138"/>
      <c r="AM19" s="138"/>
      <c r="AN19" s="138"/>
      <c r="AO19" s="138"/>
      <c r="AP19" s="138"/>
      <c r="AQ19" s="138"/>
      <c r="AR19" s="138"/>
      <c r="AS19" s="138"/>
      <c r="AT19" s="138"/>
      <c r="AU19" s="138"/>
      <c r="AV19" s="138"/>
      <c r="AW19" s="138"/>
      <c r="AX19" s="138"/>
      <c r="AY19" s="138"/>
      <c r="AZ19" s="138"/>
      <c r="BA19" s="138"/>
      <c r="BB19" s="138"/>
      <c r="BC19" s="138"/>
      <c r="BD19" s="138"/>
    </row>
    <row r="20" spans="1:56" ht="151.5" customHeight="1" x14ac:dyDescent="0.3">
      <c r="A20" s="947"/>
      <c r="B20" s="947"/>
      <c r="C20" s="947"/>
      <c r="D20" s="947"/>
      <c r="E20" s="947"/>
      <c r="F20" s="947"/>
      <c r="G20" s="947"/>
      <c r="H20" s="947"/>
      <c r="I20" s="947"/>
      <c r="J20" s="947"/>
      <c r="K20" s="947"/>
      <c r="L20" s="947"/>
      <c r="M20" s="947"/>
      <c r="N20" s="947"/>
      <c r="O20" s="3">
        <v>5</v>
      </c>
      <c r="P20" s="11"/>
      <c r="Q20" s="3" t="str">
        <f t="shared" si="0"/>
        <v/>
      </c>
      <c r="R20" s="9"/>
      <c r="S20" s="9"/>
      <c r="T20" s="4" t="str">
        <f t="shared" si="1"/>
        <v/>
      </c>
      <c r="U20" s="9"/>
      <c r="V20" s="9"/>
      <c r="W20" s="9"/>
      <c r="X20" s="5" t="str">
        <f>IFERROR(IF(AND(Q19="Probabilidad",Q20="Probabilidad"),(Z19-(+Z19*T20)),IF(AND(Q19="Impacto",Q20="Probabilidad"),(Z18-(+Z18*T20)),IF(Q20="Impacto",Z19,""))),"")</f>
        <v/>
      </c>
      <c r="Y20" s="6" t="str">
        <f t="shared" si="2"/>
        <v/>
      </c>
      <c r="Z20" s="7" t="str">
        <f t="shared" si="3"/>
        <v/>
      </c>
      <c r="AA20" s="6" t="str">
        <f t="shared" si="4"/>
        <v/>
      </c>
      <c r="AB20" s="7" t="str">
        <f>IFERROR(IF(AND(Q19="Impacto",Q20="Impacto"),(AB19-(+AB19*T20)),IF(AND(Q19="Probabilidad",Q20="Impacto"),(AB18-(+AB18*T20)),IF(Q20="Probabilidad",AB19,""))),"")</f>
        <v/>
      </c>
      <c r="AC20" s="8" t="str">
        <f t="shared" si="5"/>
        <v/>
      </c>
      <c r="AD20" s="10"/>
      <c r="AE20" s="18"/>
      <c r="AF20" s="3"/>
      <c r="AG20" s="17"/>
      <c r="AH20" s="17"/>
      <c r="AI20" s="18"/>
      <c r="AJ20" s="3"/>
      <c r="AK20" s="138"/>
      <c r="AL20" s="138"/>
      <c r="AM20" s="138"/>
      <c r="AN20" s="138"/>
      <c r="AO20" s="138"/>
      <c r="AP20" s="138"/>
      <c r="AQ20" s="138"/>
      <c r="AR20" s="138"/>
      <c r="AS20" s="138"/>
      <c r="AT20" s="138"/>
      <c r="AU20" s="138"/>
      <c r="AV20" s="138"/>
      <c r="AW20" s="138"/>
      <c r="AX20" s="138"/>
      <c r="AY20" s="138"/>
      <c r="AZ20" s="138"/>
      <c r="BA20" s="138"/>
      <c r="BB20" s="138"/>
      <c r="BC20" s="138"/>
      <c r="BD20" s="138"/>
    </row>
    <row r="21" spans="1:56" ht="151.5" customHeight="1" x14ac:dyDescent="0.3">
      <c r="A21" s="948"/>
      <c r="B21" s="948"/>
      <c r="C21" s="948"/>
      <c r="D21" s="948"/>
      <c r="E21" s="948"/>
      <c r="F21" s="948"/>
      <c r="G21" s="948"/>
      <c r="H21" s="948"/>
      <c r="I21" s="948"/>
      <c r="J21" s="948"/>
      <c r="K21" s="948"/>
      <c r="L21" s="948"/>
      <c r="M21" s="948"/>
      <c r="N21" s="948"/>
      <c r="O21" s="3">
        <v>6</v>
      </c>
      <c r="P21" s="11"/>
      <c r="Q21" s="3" t="str">
        <f t="shared" si="0"/>
        <v/>
      </c>
      <c r="R21" s="9"/>
      <c r="S21" s="9"/>
      <c r="T21" s="4" t="str">
        <f t="shared" si="1"/>
        <v/>
      </c>
      <c r="U21" s="9"/>
      <c r="V21" s="9"/>
      <c r="W21" s="9"/>
      <c r="X21" s="5" t="str">
        <f>IFERROR(IF(AND(Q20="Probabilidad",Q21="Probabilidad"),(Z20-(+Z20*T21)),IF(AND(Q20="Impacto",Q21="Probabilidad"),(Z19-(+Z19*T21)),IF(Q21="Impacto",Z20,""))),"")</f>
        <v/>
      </c>
      <c r="Y21" s="6" t="str">
        <f t="shared" si="2"/>
        <v/>
      </c>
      <c r="Z21" s="7" t="str">
        <f t="shared" si="3"/>
        <v/>
      </c>
      <c r="AA21" s="6" t="str">
        <f t="shared" si="4"/>
        <v/>
      </c>
      <c r="AB21" s="7" t="str">
        <f>IFERROR(IF(AND(Q20="Impacto",Q21="Impacto"),(AB20-(+AB20*T21)),IF(AND(Q20="Probabilidad",Q21="Impacto"),(AB19-(+AB19*T21)),IF(Q21="Probabilidad",AB20,""))),"")</f>
        <v/>
      </c>
      <c r="AC21" s="8" t="str">
        <f t="shared" si="5"/>
        <v/>
      </c>
      <c r="AD21" s="10"/>
      <c r="AE21" s="18"/>
      <c r="AF21" s="3"/>
      <c r="AG21" s="17"/>
      <c r="AH21" s="17"/>
      <c r="AI21" s="18"/>
      <c r="AJ21" s="3"/>
      <c r="AK21" s="138"/>
      <c r="AL21" s="138"/>
      <c r="AM21" s="138"/>
      <c r="AN21" s="138"/>
      <c r="AO21" s="138"/>
      <c r="AP21" s="138"/>
      <c r="AQ21" s="138"/>
      <c r="AR21" s="138"/>
      <c r="AS21" s="138"/>
      <c r="AT21" s="138"/>
      <c r="AU21" s="138"/>
      <c r="AV21" s="138"/>
      <c r="AW21" s="138"/>
      <c r="AX21" s="138"/>
      <c r="AY21" s="138"/>
      <c r="AZ21" s="138"/>
      <c r="BA21" s="138"/>
      <c r="BB21" s="138"/>
      <c r="BC21" s="138"/>
      <c r="BD21" s="138"/>
    </row>
    <row r="22" spans="1:56" ht="151.5" customHeight="1" x14ac:dyDescent="0.3">
      <c r="A22" s="951">
        <v>3</v>
      </c>
      <c r="B22" s="952"/>
      <c r="C22" s="952"/>
      <c r="D22" s="952"/>
      <c r="E22" s="952"/>
      <c r="F22" s="952"/>
      <c r="G22" s="951"/>
      <c r="H22" s="949" t="str">
        <f>IF(G22&lt;=0,"",IF(G22&lt;=2,"Muy Baja",IF(G22&lt;=24,"Baja",IF(G22&lt;=500,"Media",IF(G22&lt;=5000,"Alta","Muy Alta")))))</f>
        <v/>
      </c>
      <c r="I22" s="946" t="str">
        <f>IF(H22="","",IF(H22="Muy Baja",0.2,IF(H22="Baja",0.4,IF(H22="Media",0.6,IF(H22="Alta",0.8,IF(H22="Muy Alta",1,))))))</f>
        <v/>
      </c>
      <c r="J22" s="946"/>
      <c r="K22" s="946" t="str">
        <f>IF(NOT(ISERROR(MATCH(J22,'Tabla Impacto'!$B$222:$B$224,0))),'Tabla Impacto'!$F$224&amp;"Por favor no seleccionar los criterios de impacto(Afectación Económica o presupuestal y Pérdida Reputacional)",J22)</f>
        <v>❌Por favor no seleccionar los criterios de impacto(Afectación Económica o presupuestal y Pérdida Reputacional)</v>
      </c>
      <c r="L22" s="949" t="str">
        <f>IF(OR(K22='Tabla Impacto'!$C$12,K22='Tabla Impacto'!$D$12),"Leve",IF(OR(K22='Tabla Impacto'!$C$13,K22='Tabla Impacto'!$D$13),"Menor",IF(OR(K22='Tabla Impacto'!$C$14,K22='Tabla Impacto'!$D$14),"Moderado",IF(OR(K22='Tabla Impacto'!$C$15,K22='Tabla Impacto'!$D$15),"Mayor",IF(OR(K22='Tabla Impacto'!$C$16,K22='Tabla Impacto'!$D$16),"Catastrófico","")))))</f>
        <v/>
      </c>
      <c r="M22" s="946" t="str">
        <f>IF(L22="","",IF(L22="Leve",0.2,IF(L22="Menor",0.4,IF(L22="Moderado",0.6,IF(L22="Mayor",0.8,IF(L22="Catastrófico",1,))))))</f>
        <v/>
      </c>
      <c r="N22" s="950"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
        <v>1</v>
      </c>
      <c r="P22" s="11"/>
      <c r="Q22" s="3" t="str">
        <f t="shared" si="0"/>
        <v/>
      </c>
      <c r="R22" s="9"/>
      <c r="S22" s="9"/>
      <c r="T22" s="4" t="str">
        <f t="shared" si="1"/>
        <v/>
      </c>
      <c r="U22" s="9"/>
      <c r="V22" s="9"/>
      <c r="W22" s="9"/>
      <c r="X22" s="5" t="str">
        <f>IFERROR(IF(Q22="Probabilidad",(I22-(+I22*T22)),IF(Q22="Impacto",I22,"")),"")</f>
        <v/>
      </c>
      <c r="Y22" s="6" t="str">
        <f t="shared" si="2"/>
        <v/>
      </c>
      <c r="Z22" s="7" t="str">
        <f t="shared" si="3"/>
        <v/>
      </c>
      <c r="AA22" s="6" t="str">
        <f t="shared" si="4"/>
        <v/>
      </c>
      <c r="AB22" s="7" t="str">
        <f>IFERROR(IF(Q22="Impacto",(M22-(+M22*T22)),IF(Q22="Probabilidad",M22,"")),"")</f>
        <v/>
      </c>
      <c r="AC22" s="8" t="str">
        <f t="shared" si="5"/>
        <v/>
      </c>
      <c r="AD22" s="10"/>
      <c r="AE22" s="18"/>
      <c r="AF22" s="3"/>
      <c r="AG22" s="17"/>
      <c r="AH22" s="17"/>
      <c r="AI22" s="18"/>
      <c r="AJ22" s="3"/>
      <c r="AK22" s="138"/>
      <c r="AL22" s="138"/>
      <c r="AM22" s="138"/>
      <c r="AN22" s="138"/>
      <c r="AO22" s="138"/>
      <c r="AP22" s="138"/>
      <c r="AQ22" s="138"/>
      <c r="AR22" s="138"/>
      <c r="AS22" s="138"/>
      <c r="AT22" s="138"/>
      <c r="AU22" s="138"/>
      <c r="AV22" s="138"/>
      <c r="AW22" s="138"/>
      <c r="AX22" s="138"/>
      <c r="AY22" s="138"/>
      <c r="AZ22" s="138"/>
      <c r="BA22" s="138"/>
      <c r="BB22" s="138"/>
      <c r="BC22" s="138"/>
      <c r="BD22" s="138"/>
    </row>
    <row r="23" spans="1:56" ht="151.5" customHeight="1" x14ac:dyDescent="0.3">
      <c r="A23" s="947"/>
      <c r="B23" s="947"/>
      <c r="C23" s="947"/>
      <c r="D23" s="947"/>
      <c r="E23" s="947"/>
      <c r="F23" s="947"/>
      <c r="G23" s="947"/>
      <c r="H23" s="947"/>
      <c r="I23" s="947"/>
      <c r="J23" s="947"/>
      <c r="K23" s="947"/>
      <c r="L23" s="947"/>
      <c r="M23" s="947"/>
      <c r="N23" s="947"/>
      <c r="O23" s="3">
        <v>2</v>
      </c>
      <c r="P23" s="11"/>
      <c r="Q23" s="3" t="str">
        <f t="shared" si="0"/>
        <v/>
      </c>
      <c r="R23" s="9"/>
      <c r="S23" s="9"/>
      <c r="T23" s="4" t="str">
        <f t="shared" si="1"/>
        <v/>
      </c>
      <c r="U23" s="9"/>
      <c r="V23" s="9"/>
      <c r="W23" s="9"/>
      <c r="X23" s="13" t="str">
        <f>IFERROR(IF(AND(Q22="Probabilidad",Q23="Probabilidad"),(Z22-(+Z22*T23)),IF(Q23="Probabilidad",(I22-(+I22*T23)),IF(Q23="Impacto",Z22,""))),"")</f>
        <v/>
      </c>
      <c r="Y23" s="6" t="str">
        <f t="shared" si="2"/>
        <v/>
      </c>
      <c r="Z23" s="7" t="str">
        <f t="shared" si="3"/>
        <v/>
      </c>
      <c r="AA23" s="6" t="str">
        <f t="shared" si="4"/>
        <v/>
      </c>
      <c r="AB23" s="7" t="str">
        <f>IFERROR(IF(AND(Q22="Impacto",Q23="Impacto"),(AB16-(+AB16*T23)),IF(Q23="Impacto",($M$22-(+$M$22*T23)),IF(Q23="Probabilidad",AB16,""))),"")</f>
        <v/>
      </c>
      <c r="AC23" s="8" t="str">
        <f t="shared" si="5"/>
        <v/>
      </c>
      <c r="AD23" s="10"/>
      <c r="AE23" s="18"/>
      <c r="AF23" s="3"/>
      <c r="AG23" s="17"/>
      <c r="AH23" s="17"/>
      <c r="AI23" s="18"/>
      <c r="AJ23" s="3"/>
      <c r="AK23" s="138"/>
      <c r="AL23" s="138"/>
      <c r="AM23" s="138"/>
      <c r="AN23" s="138"/>
      <c r="AO23" s="138"/>
      <c r="AP23" s="138"/>
      <c r="AQ23" s="138"/>
      <c r="AR23" s="138"/>
      <c r="AS23" s="138"/>
      <c r="AT23" s="138"/>
      <c r="AU23" s="138"/>
      <c r="AV23" s="138"/>
      <c r="AW23" s="138"/>
      <c r="AX23" s="138"/>
      <c r="AY23" s="138"/>
      <c r="AZ23" s="138"/>
      <c r="BA23" s="138"/>
      <c r="BB23" s="138"/>
      <c r="BC23" s="138"/>
      <c r="BD23" s="138"/>
    </row>
    <row r="24" spans="1:56" ht="151.5" customHeight="1" x14ac:dyDescent="0.3">
      <c r="A24" s="947"/>
      <c r="B24" s="947"/>
      <c r="C24" s="947"/>
      <c r="D24" s="947"/>
      <c r="E24" s="947"/>
      <c r="F24" s="947"/>
      <c r="G24" s="947"/>
      <c r="H24" s="947"/>
      <c r="I24" s="947"/>
      <c r="J24" s="947"/>
      <c r="K24" s="947"/>
      <c r="L24" s="947"/>
      <c r="M24" s="947"/>
      <c r="N24" s="947"/>
      <c r="O24" s="3">
        <v>3</v>
      </c>
      <c r="P24" s="12"/>
      <c r="Q24" s="3" t="str">
        <f t="shared" si="0"/>
        <v/>
      </c>
      <c r="R24" s="9"/>
      <c r="S24" s="9"/>
      <c r="T24" s="4" t="str">
        <f t="shared" si="1"/>
        <v/>
      </c>
      <c r="U24" s="9"/>
      <c r="V24" s="9"/>
      <c r="W24" s="9"/>
      <c r="X24" s="5" t="str">
        <f>IFERROR(IF(AND(Q23="Probabilidad",Q24="Probabilidad"),(Z23-(+Z23*T24)),IF(AND(Q23="Impacto",Q24="Probabilidad"),(Z22-(+Z22*T24)),IF(Q24="Impacto",Z23,""))),"")</f>
        <v/>
      </c>
      <c r="Y24" s="6" t="str">
        <f t="shared" si="2"/>
        <v/>
      </c>
      <c r="Z24" s="7" t="str">
        <f t="shared" si="3"/>
        <v/>
      </c>
      <c r="AA24" s="6" t="str">
        <f t="shared" si="4"/>
        <v/>
      </c>
      <c r="AB24" s="7" t="str">
        <f>IFERROR(IF(AND(Q23="Impacto",Q24="Impacto"),(AB23-(+AB23*T24)),IF(AND(Q23="Probabilidad",Q24="Impacto"),(AB22-(+AB22*T24)),IF(Q24="Probabilidad",AB23,""))),"")</f>
        <v/>
      </c>
      <c r="AC24" s="8" t="str">
        <f t="shared" si="5"/>
        <v/>
      </c>
      <c r="AD24" s="10"/>
      <c r="AE24" s="18"/>
      <c r="AF24" s="3"/>
      <c r="AG24" s="17"/>
      <c r="AH24" s="17"/>
      <c r="AI24" s="18"/>
      <c r="AJ24" s="3"/>
      <c r="AK24" s="138"/>
      <c r="AL24" s="138"/>
      <c r="AM24" s="138"/>
      <c r="AN24" s="138"/>
      <c r="AO24" s="138"/>
      <c r="AP24" s="138"/>
      <c r="AQ24" s="138"/>
      <c r="AR24" s="138"/>
      <c r="AS24" s="138"/>
      <c r="AT24" s="138"/>
      <c r="AU24" s="138"/>
      <c r="AV24" s="138"/>
      <c r="AW24" s="138"/>
      <c r="AX24" s="138"/>
      <c r="AY24" s="138"/>
      <c r="AZ24" s="138"/>
      <c r="BA24" s="138"/>
      <c r="BB24" s="138"/>
      <c r="BC24" s="138"/>
      <c r="BD24" s="138"/>
    </row>
    <row r="25" spans="1:56" ht="151.5" customHeight="1" x14ac:dyDescent="0.3">
      <c r="A25" s="947"/>
      <c r="B25" s="947"/>
      <c r="C25" s="947"/>
      <c r="D25" s="947"/>
      <c r="E25" s="947"/>
      <c r="F25" s="947"/>
      <c r="G25" s="947"/>
      <c r="H25" s="947"/>
      <c r="I25" s="947"/>
      <c r="J25" s="947"/>
      <c r="K25" s="947"/>
      <c r="L25" s="947"/>
      <c r="M25" s="947"/>
      <c r="N25" s="947"/>
      <c r="O25" s="3">
        <v>4</v>
      </c>
      <c r="P25" s="11"/>
      <c r="Q25" s="3" t="str">
        <f t="shared" si="0"/>
        <v/>
      </c>
      <c r="R25" s="9"/>
      <c r="S25" s="9"/>
      <c r="T25" s="4" t="str">
        <f t="shared" si="1"/>
        <v/>
      </c>
      <c r="U25" s="9"/>
      <c r="V25" s="9"/>
      <c r="W25" s="9"/>
      <c r="X25" s="5" t="str">
        <f>IFERROR(IF(AND(Q24="Probabilidad",Q25="Probabilidad"),(Z24-(+Z24*T25)),IF(AND(Q24="Impacto",Q25="Probabilidad"),(Z23-(+Z23*T25)),IF(Q25="Impacto",Z24,""))),"")</f>
        <v/>
      </c>
      <c r="Y25" s="6" t="str">
        <f t="shared" si="2"/>
        <v/>
      </c>
      <c r="Z25" s="7" t="str">
        <f t="shared" si="3"/>
        <v/>
      </c>
      <c r="AA25" s="6" t="str">
        <f t="shared" si="4"/>
        <v/>
      </c>
      <c r="AB25" s="7" t="str">
        <f>IFERROR(IF(AND(Q24="Impacto",Q25="Impacto"),(AB24-(+AB24*T25)),IF(AND(Q24="Probabilidad",Q25="Impacto"),(AB23-(+AB23*T25)),IF(Q25="Probabilidad",AB24,""))),"")</f>
        <v/>
      </c>
      <c r="AC25" s="8" t="str">
        <f t="shared" si="5"/>
        <v/>
      </c>
      <c r="AD25" s="10"/>
      <c r="AE25" s="18"/>
      <c r="AF25" s="3"/>
      <c r="AG25" s="17"/>
      <c r="AH25" s="17"/>
      <c r="AI25" s="18"/>
      <c r="AJ25" s="3"/>
      <c r="AK25" s="138"/>
      <c r="AL25" s="138"/>
      <c r="AM25" s="138"/>
      <c r="AN25" s="138"/>
      <c r="AO25" s="138"/>
      <c r="AP25" s="138"/>
      <c r="AQ25" s="138"/>
      <c r="AR25" s="138"/>
      <c r="AS25" s="138"/>
      <c r="AT25" s="138"/>
      <c r="AU25" s="138"/>
      <c r="AV25" s="138"/>
      <c r="AW25" s="138"/>
      <c r="AX25" s="138"/>
      <c r="AY25" s="138"/>
      <c r="AZ25" s="138"/>
      <c r="BA25" s="138"/>
      <c r="BB25" s="138"/>
      <c r="BC25" s="138"/>
      <c r="BD25" s="138"/>
    </row>
    <row r="26" spans="1:56" ht="151.5" customHeight="1" x14ac:dyDescent="0.3">
      <c r="A26" s="947"/>
      <c r="B26" s="947"/>
      <c r="C26" s="947"/>
      <c r="D26" s="947"/>
      <c r="E26" s="947"/>
      <c r="F26" s="947"/>
      <c r="G26" s="947"/>
      <c r="H26" s="947"/>
      <c r="I26" s="947"/>
      <c r="J26" s="947"/>
      <c r="K26" s="947"/>
      <c r="L26" s="947"/>
      <c r="M26" s="947"/>
      <c r="N26" s="947"/>
      <c r="O26" s="3">
        <v>5</v>
      </c>
      <c r="P26" s="11"/>
      <c r="Q26" s="3" t="str">
        <f t="shared" si="0"/>
        <v/>
      </c>
      <c r="R26" s="9"/>
      <c r="S26" s="9"/>
      <c r="T26" s="4" t="str">
        <f t="shared" si="1"/>
        <v/>
      </c>
      <c r="U26" s="9"/>
      <c r="V26" s="9"/>
      <c r="W26" s="9"/>
      <c r="X26" s="5" t="str">
        <f>IFERROR(IF(AND(Q25="Probabilidad",Q26="Probabilidad"),(Z25-(+Z25*T26)),IF(AND(Q25="Impacto",Q26="Probabilidad"),(Z24-(+Z24*T26)),IF(Q26="Impacto",Z25,""))),"")</f>
        <v/>
      </c>
      <c r="Y26" s="6" t="str">
        <f t="shared" si="2"/>
        <v/>
      </c>
      <c r="Z26" s="7" t="str">
        <f t="shared" si="3"/>
        <v/>
      </c>
      <c r="AA26" s="6" t="str">
        <f t="shared" si="4"/>
        <v/>
      </c>
      <c r="AB26" s="7" t="str">
        <f>IFERROR(IF(AND(Q25="Impacto",Q26="Impacto"),(AB25-(+AB25*T26)),IF(AND(Q25="Probabilidad",Q26="Impacto"),(AB24-(+AB24*T26)),IF(Q26="Probabilidad",AB25,""))),"")</f>
        <v/>
      </c>
      <c r="AC26" s="8" t="str">
        <f t="shared" si="5"/>
        <v/>
      </c>
      <c r="AD26" s="10"/>
      <c r="AE26" s="18"/>
      <c r="AF26" s="3"/>
      <c r="AG26" s="17"/>
      <c r="AH26" s="17"/>
      <c r="AI26" s="18"/>
      <c r="AJ26" s="3"/>
      <c r="AK26" s="138"/>
      <c r="AL26" s="138"/>
      <c r="AM26" s="138"/>
      <c r="AN26" s="138"/>
      <c r="AO26" s="138"/>
      <c r="AP26" s="138"/>
      <c r="AQ26" s="138"/>
      <c r="AR26" s="138"/>
      <c r="AS26" s="138"/>
      <c r="AT26" s="138"/>
      <c r="AU26" s="138"/>
      <c r="AV26" s="138"/>
      <c r="AW26" s="138"/>
      <c r="AX26" s="138"/>
      <c r="AY26" s="138"/>
      <c r="AZ26" s="138"/>
      <c r="BA26" s="138"/>
      <c r="BB26" s="138"/>
      <c r="BC26" s="138"/>
      <c r="BD26" s="138"/>
    </row>
    <row r="27" spans="1:56" ht="151.5" customHeight="1" x14ac:dyDescent="0.3">
      <c r="A27" s="948"/>
      <c r="B27" s="948"/>
      <c r="C27" s="948"/>
      <c r="D27" s="948"/>
      <c r="E27" s="948"/>
      <c r="F27" s="948"/>
      <c r="G27" s="948"/>
      <c r="H27" s="948"/>
      <c r="I27" s="948"/>
      <c r="J27" s="948"/>
      <c r="K27" s="948"/>
      <c r="L27" s="948"/>
      <c r="M27" s="948"/>
      <c r="N27" s="948"/>
      <c r="O27" s="3">
        <v>6</v>
      </c>
      <c r="P27" s="11"/>
      <c r="Q27" s="3" t="str">
        <f t="shared" si="0"/>
        <v/>
      </c>
      <c r="R27" s="9"/>
      <c r="S27" s="9"/>
      <c r="T27" s="4" t="str">
        <f t="shared" si="1"/>
        <v/>
      </c>
      <c r="U27" s="9"/>
      <c r="V27" s="9"/>
      <c r="W27" s="9"/>
      <c r="X27" s="5" t="str">
        <f>IFERROR(IF(AND(Q26="Probabilidad",Q27="Probabilidad"),(Z26-(+Z26*T27)),IF(AND(Q26="Impacto",Q27="Probabilidad"),(Z25-(+Z25*T27)),IF(Q27="Impacto",Z26,""))),"")</f>
        <v/>
      </c>
      <c r="Y27" s="6" t="str">
        <f t="shared" si="2"/>
        <v/>
      </c>
      <c r="Z27" s="7" t="str">
        <f t="shared" si="3"/>
        <v/>
      </c>
      <c r="AA27" s="6" t="str">
        <f t="shared" si="4"/>
        <v/>
      </c>
      <c r="AB27" s="7" t="str">
        <f>IFERROR(IF(AND(Q26="Impacto",Q27="Impacto"),(AB26-(+AB26*T27)),IF(AND(Q26="Probabilidad",Q27="Impacto"),(AB25-(+AB25*T27)),IF(Q27="Probabilidad",AB26,""))),"")</f>
        <v/>
      </c>
      <c r="AC27" s="8" t="str">
        <f t="shared" si="5"/>
        <v/>
      </c>
      <c r="AD27" s="10"/>
      <c r="AE27" s="18"/>
      <c r="AF27" s="3"/>
      <c r="AG27" s="17"/>
      <c r="AH27" s="17"/>
      <c r="AI27" s="18"/>
      <c r="AJ27" s="3"/>
      <c r="AK27" s="138"/>
      <c r="AL27" s="138"/>
      <c r="AM27" s="138"/>
      <c r="AN27" s="138"/>
      <c r="AO27" s="138"/>
      <c r="AP27" s="138"/>
      <c r="AQ27" s="138"/>
      <c r="AR27" s="138"/>
      <c r="AS27" s="138"/>
      <c r="AT27" s="138"/>
      <c r="AU27" s="138"/>
      <c r="AV27" s="138"/>
      <c r="AW27" s="138"/>
      <c r="AX27" s="138"/>
      <c r="AY27" s="138"/>
      <c r="AZ27" s="138"/>
      <c r="BA27" s="138"/>
      <c r="BB27" s="138"/>
      <c r="BC27" s="138"/>
      <c r="BD27" s="138"/>
    </row>
    <row r="28" spans="1:56" ht="151.5" customHeight="1" x14ac:dyDescent="0.3">
      <c r="A28" s="951">
        <v>4</v>
      </c>
      <c r="B28" s="952"/>
      <c r="C28" s="952"/>
      <c r="D28" s="952"/>
      <c r="E28" s="952"/>
      <c r="F28" s="952"/>
      <c r="G28" s="951"/>
      <c r="H28" s="949" t="str">
        <f>IF(G28&lt;=0,"",IF(G28&lt;=2,"Muy Baja",IF(G28&lt;=24,"Baja",IF(G28&lt;=500,"Media",IF(G28&lt;=5000,"Alta","Muy Alta")))))</f>
        <v/>
      </c>
      <c r="I28" s="946" t="str">
        <f>IF(H28="","",IF(H28="Muy Baja",0.2,IF(H28="Baja",0.4,IF(H28="Media",0.6,IF(H28="Alta",0.8,IF(H28="Muy Alta",1,))))))</f>
        <v/>
      </c>
      <c r="J28" s="946"/>
      <c r="K28" s="946" t="str">
        <f>IF(NOT(ISERROR(MATCH(J28,'Tabla Impacto'!$B$222:$B$224,0))),'Tabla Impacto'!$F$224&amp;"Por favor no seleccionar los criterios de impacto(Afectación Económica o presupuestal y Pérdida Reputacional)",J28)</f>
        <v>❌Por favor no seleccionar los criterios de impacto(Afectación Económica o presupuestal y Pérdida Reputacional)</v>
      </c>
      <c r="L28" s="949" t="str">
        <f>IF(OR(K28='Tabla Impacto'!$C$12,K28='Tabla Impacto'!$D$12),"Leve",IF(OR(K28='Tabla Impacto'!$C$13,K28='Tabla Impacto'!$D$13),"Menor",IF(OR(K28='Tabla Impacto'!$C$14,K28='Tabla Impacto'!$D$14),"Moderado",IF(OR(K28='Tabla Impacto'!$C$15,K28='Tabla Impacto'!$D$15),"Mayor",IF(OR(K28='Tabla Impacto'!$C$16,K28='Tabla Impacto'!$D$16),"Catastrófico","")))))</f>
        <v/>
      </c>
      <c r="M28" s="946" t="str">
        <f>IF(L28="","",IF(L28="Leve",0.2,IF(L28="Menor",0.4,IF(L28="Moderado",0.6,IF(L28="Mayor",0.8,IF(L28="Catastrófico",1,))))))</f>
        <v/>
      </c>
      <c r="N28" s="950"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
        <v>1</v>
      </c>
      <c r="P28" s="11"/>
      <c r="Q28" s="3" t="str">
        <f t="shared" si="0"/>
        <v/>
      </c>
      <c r="R28" s="9"/>
      <c r="S28" s="9"/>
      <c r="T28" s="4" t="str">
        <f t="shared" si="1"/>
        <v/>
      </c>
      <c r="U28" s="9"/>
      <c r="V28" s="9"/>
      <c r="W28" s="9"/>
      <c r="X28" s="5" t="str">
        <f>IFERROR(IF(Q28="Probabilidad",(I28-(+I28*T28)),IF(Q28="Impacto",I28,"")),"")</f>
        <v/>
      </c>
      <c r="Y28" s="6" t="str">
        <f t="shared" si="2"/>
        <v/>
      </c>
      <c r="Z28" s="7" t="str">
        <f t="shared" si="3"/>
        <v/>
      </c>
      <c r="AA28" s="6" t="str">
        <f t="shared" si="4"/>
        <v/>
      </c>
      <c r="AB28" s="7" t="str">
        <f>IFERROR(IF(Q28="Impacto",(M28-(+M28*T28)),IF(Q28="Probabilidad",M28,"")),"")</f>
        <v/>
      </c>
      <c r="AC28" s="8" t="str">
        <f t="shared" si="5"/>
        <v/>
      </c>
      <c r="AD28" s="10"/>
      <c r="AE28" s="18"/>
      <c r="AF28" s="3"/>
      <c r="AG28" s="17"/>
      <c r="AH28" s="17"/>
      <c r="AI28" s="18"/>
      <c r="AJ28" s="3"/>
      <c r="AK28" s="138"/>
      <c r="AL28" s="138"/>
      <c r="AM28" s="138"/>
      <c r="AN28" s="138"/>
      <c r="AO28" s="138"/>
      <c r="AP28" s="138"/>
      <c r="AQ28" s="138"/>
      <c r="AR28" s="138"/>
      <c r="AS28" s="138"/>
      <c r="AT28" s="138"/>
      <c r="AU28" s="138"/>
      <c r="AV28" s="138"/>
      <c r="AW28" s="138"/>
      <c r="AX28" s="138"/>
      <c r="AY28" s="138"/>
      <c r="AZ28" s="138"/>
      <c r="BA28" s="138"/>
      <c r="BB28" s="138"/>
      <c r="BC28" s="138"/>
      <c r="BD28" s="138"/>
    </row>
    <row r="29" spans="1:56" ht="151.5" customHeight="1" x14ac:dyDescent="0.3">
      <c r="A29" s="947"/>
      <c r="B29" s="947"/>
      <c r="C29" s="947"/>
      <c r="D29" s="947"/>
      <c r="E29" s="947"/>
      <c r="F29" s="947"/>
      <c r="G29" s="947"/>
      <c r="H29" s="947"/>
      <c r="I29" s="947"/>
      <c r="J29" s="947"/>
      <c r="K29" s="947"/>
      <c r="L29" s="947"/>
      <c r="M29" s="947"/>
      <c r="N29" s="947"/>
      <c r="O29" s="3">
        <v>2</v>
      </c>
      <c r="P29" s="11"/>
      <c r="Q29" s="3" t="str">
        <f t="shared" si="0"/>
        <v/>
      </c>
      <c r="R29" s="9"/>
      <c r="S29" s="9"/>
      <c r="T29" s="4" t="str">
        <f t="shared" si="1"/>
        <v/>
      </c>
      <c r="U29" s="9"/>
      <c r="V29" s="9"/>
      <c r="W29" s="9"/>
      <c r="X29" s="5" t="str">
        <f>IFERROR(IF(AND(Q28="Probabilidad",Q29="Probabilidad"),(Z28-(+Z28*T29)),IF(Q29="Probabilidad",(I28-(+I28*T29)),IF(Q29="Impacto",Z28,""))),"")</f>
        <v/>
      </c>
      <c r="Y29" s="6" t="str">
        <f t="shared" si="2"/>
        <v/>
      </c>
      <c r="Z29" s="7" t="str">
        <f t="shared" si="3"/>
        <v/>
      </c>
      <c r="AA29" s="6" t="str">
        <f t="shared" si="4"/>
        <v/>
      </c>
      <c r="AB29" s="7" t="str">
        <f>IFERROR(IF(AND(Q28="Impacto",Q29="Impacto"),(AB22-(+AB22*T29)),IF(Q29="Impacto",($M$28-(+$M$28*T29)),IF(Q29="Probabilidad",AB22,""))),"")</f>
        <v/>
      </c>
      <c r="AC29" s="8" t="str">
        <f t="shared" si="5"/>
        <v/>
      </c>
      <c r="AD29" s="10"/>
      <c r="AE29" s="18"/>
      <c r="AF29" s="3"/>
      <c r="AG29" s="17"/>
      <c r="AH29" s="17"/>
      <c r="AI29" s="18"/>
      <c r="AJ29" s="3"/>
      <c r="AK29" s="138"/>
      <c r="AL29" s="138"/>
      <c r="AM29" s="138"/>
      <c r="AN29" s="138"/>
      <c r="AO29" s="138"/>
      <c r="AP29" s="138"/>
      <c r="AQ29" s="138"/>
      <c r="AR29" s="138"/>
      <c r="AS29" s="138"/>
      <c r="AT29" s="138"/>
      <c r="AU29" s="138"/>
      <c r="AV29" s="138"/>
      <c r="AW29" s="138"/>
      <c r="AX29" s="138"/>
      <c r="AY29" s="138"/>
      <c r="AZ29" s="138"/>
      <c r="BA29" s="138"/>
      <c r="BB29" s="138"/>
      <c r="BC29" s="138"/>
      <c r="BD29" s="138"/>
    </row>
    <row r="30" spans="1:56" ht="151.5" customHeight="1" x14ac:dyDescent="0.3">
      <c r="A30" s="947"/>
      <c r="B30" s="947"/>
      <c r="C30" s="947"/>
      <c r="D30" s="947"/>
      <c r="E30" s="947"/>
      <c r="F30" s="947"/>
      <c r="G30" s="947"/>
      <c r="H30" s="947"/>
      <c r="I30" s="947"/>
      <c r="J30" s="947"/>
      <c r="K30" s="947"/>
      <c r="L30" s="947"/>
      <c r="M30" s="947"/>
      <c r="N30" s="947"/>
      <c r="O30" s="3">
        <v>3</v>
      </c>
      <c r="P30" s="12"/>
      <c r="Q30" s="3" t="str">
        <f t="shared" si="0"/>
        <v/>
      </c>
      <c r="R30" s="9"/>
      <c r="S30" s="9"/>
      <c r="T30" s="4" t="str">
        <f t="shared" si="1"/>
        <v/>
      </c>
      <c r="U30" s="9"/>
      <c r="V30" s="9"/>
      <c r="W30" s="9"/>
      <c r="X30" s="5" t="str">
        <f>IFERROR(IF(AND(Q29="Probabilidad",Q30="Probabilidad"),(Z29-(+Z29*T30)),IF(AND(Q29="Impacto",Q30="Probabilidad"),(Z28-(+Z28*T30)),IF(Q30="Impacto",Z29,""))),"")</f>
        <v/>
      </c>
      <c r="Y30" s="6" t="str">
        <f t="shared" si="2"/>
        <v/>
      </c>
      <c r="Z30" s="7" t="str">
        <f t="shared" si="3"/>
        <v/>
      </c>
      <c r="AA30" s="6" t="str">
        <f t="shared" si="4"/>
        <v/>
      </c>
      <c r="AB30" s="7" t="str">
        <f>IFERROR(IF(AND(Q29="Impacto",Q30="Impacto"),(AB29-(+AB29*T30)),IF(AND(Q29="Probabilidad",Q30="Impacto"),(AB28-(+AB28*T30)),IF(Q30="Probabilidad",AB29,""))),"")</f>
        <v/>
      </c>
      <c r="AC30" s="8" t="str">
        <f t="shared" si="5"/>
        <v/>
      </c>
      <c r="AD30" s="10"/>
      <c r="AE30" s="18"/>
      <c r="AF30" s="3"/>
      <c r="AG30" s="17"/>
      <c r="AH30" s="17"/>
      <c r="AI30" s="18"/>
      <c r="AJ30" s="3"/>
      <c r="AK30" s="138"/>
      <c r="AL30" s="138"/>
      <c r="AM30" s="138"/>
      <c r="AN30" s="138"/>
      <c r="AO30" s="138"/>
      <c r="AP30" s="138"/>
      <c r="AQ30" s="138"/>
      <c r="AR30" s="138"/>
      <c r="AS30" s="138"/>
      <c r="AT30" s="138"/>
      <c r="AU30" s="138"/>
      <c r="AV30" s="138"/>
      <c r="AW30" s="138"/>
      <c r="AX30" s="138"/>
      <c r="AY30" s="138"/>
      <c r="AZ30" s="138"/>
      <c r="BA30" s="138"/>
      <c r="BB30" s="138"/>
      <c r="BC30" s="138"/>
      <c r="BD30" s="138"/>
    </row>
    <row r="31" spans="1:56" ht="151.5" customHeight="1" x14ac:dyDescent="0.3">
      <c r="A31" s="947"/>
      <c r="B31" s="947"/>
      <c r="C31" s="947"/>
      <c r="D31" s="947"/>
      <c r="E31" s="947"/>
      <c r="F31" s="947"/>
      <c r="G31" s="947"/>
      <c r="H31" s="947"/>
      <c r="I31" s="947"/>
      <c r="J31" s="947"/>
      <c r="K31" s="947"/>
      <c r="L31" s="947"/>
      <c r="M31" s="947"/>
      <c r="N31" s="947"/>
      <c r="O31" s="3">
        <v>4</v>
      </c>
      <c r="P31" s="11"/>
      <c r="Q31" s="3" t="str">
        <f t="shared" si="0"/>
        <v/>
      </c>
      <c r="R31" s="9"/>
      <c r="S31" s="9"/>
      <c r="T31" s="4" t="str">
        <f t="shared" si="1"/>
        <v/>
      </c>
      <c r="U31" s="9"/>
      <c r="V31" s="9"/>
      <c r="W31" s="9"/>
      <c r="X31" s="5" t="str">
        <f>IFERROR(IF(AND(Q30="Probabilidad",Q31="Probabilidad"),(Z30-(+Z30*T31)),IF(AND(Q30="Impacto",Q31="Probabilidad"),(Z29-(+Z29*T31)),IF(Q31="Impacto",Z30,""))),"")</f>
        <v/>
      </c>
      <c r="Y31" s="6" t="str">
        <f t="shared" si="2"/>
        <v/>
      </c>
      <c r="Z31" s="7" t="str">
        <f t="shared" si="3"/>
        <v/>
      </c>
      <c r="AA31" s="6" t="str">
        <f t="shared" si="4"/>
        <v/>
      </c>
      <c r="AB31" s="7" t="str">
        <f>IFERROR(IF(AND(Q30="Impacto",Q31="Impacto"),(AB30-(+AB30*T31)),IF(AND(Q30="Probabilidad",Q31="Impacto"),(AB29-(+AB29*T31)),IF(Q31="Probabilidad",AB30,""))),"")</f>
        <v/>
      </c>
      <c r="AC31" s="8" t="str">
        <f t="shared" si="5"/>
        <v/>
      </c>
      <c r="AD31" s="10"/>
      <c r="AE31" s="18"/>
      <c r="AF31" s="3"/>
      <c r="AG31" s="17"/>
      <c r="AH31" s="17"/>
      <c r="AI31" s="18"/>
      <c r="AJ31" s="3"/>
      <c r="AK31" s="138"/>
      <c r="AL31" s="138"/>
      <c r="AM31" s="138"/>
      <c r="AN31" s="138"/>
      <c r="AO31" s="138"/>
      <c r="AP31" s="138"/>
      <c r="AQ31" s="138"/>
      <c r="AR31" s="138"/>
      <c r="AS31" s="138"/>
      <c r="AT31" s="138"/>
      <c r="AU31" s="138"/>
      <c r="AV31" s="138"/>
      <c r="AW31" s="138"/>
      <c r="AX31" s="138"/>
      <c r="AY31" s="138"/>
      <c r="AZ31" s="138"/>
      <c r="BA31" s="138"/>
      <c r="BB31" s="138"/>
      <c r="BC31" s="138"/>
      <c r="BD31" s="138"/>
    </row>
    <row r="32" spans="1:56" ht="151.5" customHeight="1" x14ac:dyDescent="0.3">
      <c r="A32" s="947"/>
      <c r="B32" s="947"/>
      <c r="C32" s="947"/>
      <c r="D32" s="947"/>
      <c r="E32" s="947"/>
      <c r="F32" s="947"/>
      <c r="G32" s="947"/>
      <c r="H32" s="947"/>
      <c r="I32" s="947"/>
      <c r="J32" s="947"/>
      <c r="K32" s="947"/>
      <c r="L32" s="947"/>
      <c r="M32" s="947"/>
      <c r="N32" s="947"/>
      <c r="O32" s="3">
        <v>5</v>
      </c>
      <c r="P32" s="11"/>
      <c r="Q32" s="3" t="str">
        <f t="shared" si="0"/>
        <v/>
      </c>
      <c r="R32" s="9"/>
      <c r="S32" s="9"/>
      <c r="T32" s="4" t="str">
        <f t="shared" si="1"/>
        <v/>
      </c>
      <c r="U32" s="9"/>
      <c r="V32" s="9"/>
      <c r="W32" s="9"/>
      <c r="X32" s="13" t="str">
        <f>IFERROR(IF(AND(Q31="Probabilidad",Q32="Probabilidad"),(Z31-(+Z31*T32)),IF(AND(Q31="Impacto",Q32="Probabilidad"),(Z30-(+Z30*T32)),IF(Q32="Impacto",Z31,""))),"")</f>
        <v/>
      </c>
      <c r="Y32" s="6" t="str">
        <f t="shared" si="2"/>
        <v/>
      </c>
      <c r="Z32" s="7" t="str">
        <f t="shared" si="3"/>
        <v/>
      </c>
      <c r="AA32" s="6" t="str">
        <f t="shared" si="4"/>
        <v/>
      </c>
      <c r="AB32" s="7" t="str">
        <f>IFERROR(IF(AND(Q31="Impacto",Q32="Impacto"),(AB31-(+AB31*T32)),IF(AND(Q31="Probabilidad",Q32="Impacto"),(AB30-(+AB30*T32)),IF(Q32="Probabilidad",AB31,""))),"")</f>
        <v/>
      </c>
      <c r="AC32" s="8" t="str">
        <f t="shared" si="5"/>
        <v/>
      </c>
      <c r="AD32" s="10"/>
      <c r="AE32" s="18"/>
      <c r="AF32" s="3"/>
      <c r="AG32" s="17"/>
      <c r="AH32" s="17"/>
      <c r="AI32" s="18"/>
      <c r="AJ32" s="3"/>
      <c r="AK32" s="138"/>
      <c r="AL32" s="138"/>
      <c r="AM32" s="138"/>
      <c r="AN32" s="138"/>
      <c r="AO32" s="138"/>
      <c r="AP32" s="138"/>
      <c r="AQ32" s="138"/>
      <c r="AR32" s="138"/>
      <c r="AS32" s="138"/>
      <c r="AT32" s="138"/>
      <c r="AU32" s="138"/>
      <c r="AV32" s="138"/>
      <c r="AW32" s="138"/>
      <c r="AX32" s="138"/>
      <c r="AY32" s="138"/>
      <c r="AZ32" s="138"/>
      <c r="BA32" s="138"/>
      <c r="BB32" s="138"/>
      <c r="BC32" s="138"/>
      <c r="BD32" s="138"/>
    </row>
    <row r="33" spans="1:56" ht="151.5" customHeight="1" x14ac:dyDescent="0.3">
      <c r="A33" s="948"/>
      <c r="B33" s="948"/>
      <c r="C33" s="948"/>
      <c r="D33" s="948"/>
      <c r="E33" s="948"/>
      <c r="F33" s="948"/>
      <c r="G33" s="948"/>
      <c r="H33" s="948"/>
      <c r="I33" s="948"/>
      <c r="J33" s="948"/>
      <c r="K33" s="948"/>
      <c r="L33" s="948"/>
      <c r="M33" s="948"/>
      <c r="N33" s="948"/>
      <c r="O33" s="3">
        <v>6</v>
      </c>
      <c r="P33" s="11"/>
      <c r="Q33" s="3" t="str">
        <f t="shared" si="0"/>
        <v/>
      </c>
      <c r="R33" s="9"/>
      <c r="S33" s="9"/>
      <c r="T33" s="4" t="str">
        <f t="shared" si="1"/>
        <v/>
      </c>
      <c r="U33" s="9"/>
      <c r="V33" s="9"/>
      <c r="W33" s="9"/>
      <c r="X33" s="5" t="str">
        <f>IFERROR(IF(AND(Q32="Probabilidad",Q33="Probabilidad"),(Z32-(+Z32*T33)),IF(AND(Q32="Impacto",Q33="Probabilidad"),(Z31-(+Z31*T33)),IF(Q33="Impacto",Z32,""))),"")</f>
        <v/>
      </c>
      <c r="Y33" s="6" t="str">
        <f t="shared" si="2"/>
        <v/>
      </c>
      <c r="Z33" s="7" t="str">
        <f t="shared" si="3"/>
        <v/>
      </c>
      <c r="AA33" s="6" t="str">
        <f t="shared" si="4"/>
        <v/>
      </c>
      <c r="AB33" s="7" t="str">
        <f>IFERROR(IF(AND(Q32="Impacto",Q33="Impacto"),(AB32-(+AB32*T33)),IF(AND(Q32="Probabilidad",Q33="Impacto"),(AB31-(+AB31*T33)),IF(Q33="Probabilidad",AB32,""))),"")</f>
        <v/>
      </c>
      <c r="AC33" s="8" t="str">
        <f t="shared" si="5"/>
        <v/>
      </c>
      <c r="AD33" s="10"/>
      <c r="AE33" s="18"/>
      <c r="AF33" s="3"/>
      <c r="AG33" s="17"/>
      <c r="AH33" s="17"/>
      <c r="AI33" s="18"/>
      <c r="AJ33" s="3"/>
      <c r="AK33" s="138"/>
      <c r="AL33" s="138"/>
      <c r="AM33" s="138"/>
      <c r="AN33" s="138"/>
      <c r="AO33" s="138"/>
      <c r="AP33" s="138"/>
      <c r="AQ33" s="138"/>
      <c r="AR33" s="138"/>
      <c r="AS33" s="138"/>
      <c r="AT33" s="138"/>
      <c r="AU33" s="138"/>
      <c r="AV33" s="138"/>
      <c r="AW33" s="138"/>
      <c r="AX33" s="138"/>
      <c r="AY33" s="138"/>
      <c r="AZ33" s="138"/>
      <c r="BA33" s="138"/>
      <c r="BB33" s="138"/>
      <c r="BC33" s="138"/>
      <c r="BD33" s="138"/>
    </row>
    <row r="34" spans="1:56" ht="151.5" customHeight="1" x14ac:dyDescent="0.3">
      <c r="A34" s="951">
        <v>5</v>
      </c>
      <c r="B34" s="952"/>
      <c r="C34" s="952"/>
      <c r="D34" s="952"/>
      <c r="E34" s="952"/>
      <c r="F34" s="952"/>
      <c r="G34" s="951"/>
      <c r="H34" s="949" t="str">
        <f>IF(G34&lt;=0,"",IF(G34&lt;=2,"Muy Baja",IF(G34&lt;=24,"Baja",IF(G34&lt;=500,"Media",IF(G34&lt;=5000,"Alta","Muy Alta")))))</f>
        <v/>
      </c>
      <c r="I34" s="946" t="str">
        <f>IF(H34="","",IF(H34="Muy Baja",0.2,IF(H34="Baja",0.4,IF(H34="Media",0.6,IF(H34="Alta",0.8,IF(H34="Muy Alta",1,))))))</f>
        <v/>
      </c>
      <c r="J34" s="946"/>
      <c r="K34" s="946" t="str">
        <f>IF(NOT(ISERROR(MATCH(J34,'Tabla Impacto'!$B$222:$B$224,0))),'Tabla Impacto'!$F$224&amp;"Por favor no seleccionar los criterios de impacto(Afectación Económica o presupuestal y Pérdida Reputacional)",J34)</f>
        <v>❌Por favor no seleccionar los criterios de impacto(Afectación Económica o presupuestal y Pérdida Reputacional)</v>
      </c>
      <c r="L34" s="949" t="str">
        <f>IF(OR(K34='Tabla Impacto'!$C$12,K34='Tabla Impacto'!$D$12),"Leve",IF(OR(K34='Tabla Impacto'!$C$13,K34='Tabla Impacto'!$D$13),"Menor",IF(OR(K34='Tabla Impacto'!$C$14,K34='Tabla Impacto'!$D$14),"Moderado",IF(OR(K34='Tabla Impacto'!$C$15,K34='Tabla Impacto'!$D$15),"Mayor",IF(OR(K34='Tabla Impacto'!$C$16,K34='Tabla Impacto'!$D$16),"Catastrófico","")))))</f>
        <v/>
      </c>
      <c r="M34" s="946" t="str">
        <f>IF(L34="","",IF(L34="Leve",0.2,IF(L34="Menor",0.4,IF(L34="Moderado",0.6,IF(L34="Mayor",0.8,IF(L34="Catastrófico",1,))))))</f>
        <v/>
      </c>
      <c r="N34" s="950"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
        <v>1</v>
      </c>
      <c r="P34" s="11"/>
      <c r="Q34" s="3" t="str">
        <f t="shared" si="0"/>
        <v/>
      </c>
      <c r="R34" s="9"/>
      <c r="S34" s="9"/>
      <c r="T34" s="4" t="str">
        <f t="shared" si="1"/>
        <v/>
      </c>
      <c r="U34" s="9"/>
      <c r="V34" s="9"/>
      <c r="W34" s="9"/>
      <c r="X34" s="5" t="str">
        <f>IFERROR(IF(Q34="Probabilidad",(I34-(+I34*T34)),IF(Q34="Impacto",I34,"")),"")</f>
        <v/>
      </c>
      <c r="Y34" s="6" t="str">
        <f t="shared" si="2"/>
        <v/>
      </c>
      <c r="Z34" s="7" t="str">
        <f t="shared" si="3"/>
        <v/>
      </c>
      <c r="AA34" s="6" t="str">
        <f t="shared" si="4"/>
        <v/>
      </c>
      <c r="AB34" s="7" t="str">
        <f>IFERROR(IF(Q34="Impacto",(M34-(+M34*T34)),IF(Q34="Probabilidad",M34,"")),"")</f>
        <v/>
      </c>
      <c r="AC34" s="8" t="str">
        <f t="shared" si="5"/>
        <v/>
      </c>
      <c r="AD34" s="10"/>
      <c r="AE34" s="18"/>
      <c r="AF34" s="3"/>
      <c r="AG34" s="17"/>
      <c r="AH34" s="17"/>
      <c r="AI34" s="18"/>
      <c r="AJ34" s="3"/>
      <c r="AK34" s="138"/>
      <c r="AL34" s="138"/>
      <c r="AM34" s="138"/>
      <c r="AN34" s="138"/>
      <c r="AO34" s="138"/>
      <c r="AP34" s="138"/>
      <c r="AQ34" s="138"/>
      <c r="AR34" s="138"/>
      <c r="AS34" s="138"/>
      <c r="AT34" s="138"/>
      <c r="AU34" s="138"/>
      <c r="AV34" s="138"/>
      <c r="AW34" s="138"/>
      <c r="AX34" s="138"/>
      <c r="AY34" s="138"/>
      <c r="AZ34" s="138"/>
      <c r="BA34" s="138"/>
      <c r="BB34" s="138"/>
      <c r="BC34" s="138"/>
      <c r="BD34" s="138"/>
    </row>
    <row r="35" spans="1:56" ht="151.5" customHeight="1" x14ac:dyDescent="0.3">
      <c r="A35" s="947"/>
      <c r="B35" s="947"/>
      <c r="C35" s="947"/>
      <c r="D35" s="947"/>
      <c r="E35" s="947"/>
      <c r="F35" s="947"/>
      <c r="G35" s="947"/>
      <c r="H35" s="947"/>
      <c r="I35" s="947"/>
      <c r="J35" s="947"/>
      <c r="K35" s="947"/>
      <c r="L35" s="947"/>
      <c r="M35" s="947"/>
      <c r="N35" s="947"/>
      <c r="O35" s="3">
        <v>2</v>
      </c>
      <c r="P35" s="11"/>
      <c r="Q35" s="3" t="str">
        <f t="shared" si="0"/>
        <v/>
      </c>
      <c r="R35" s="9"/>
      <c r="S35" s="9"/>
      <c r="T35" s="4" t="str">
        <f t="shared" si="1"/>
        <v/>
      </c>
      <c r="U35" s="9"/>
      <c r="V35" s="9"/>
      <c r="W35" s="9"/>
      <c r="X35" s="5" t="str">
        <f>IFERROR(IF(AND(Q34="Probabilidad",Q35="Probabilidad"),(Z34-(+Z34*T35)),IF(Q35="Probabilidad",(I34-(+I34*T35)),IF(Q35="Impacto",Z34,""))),"")</f>
        <v/>
      </c>
      <c r="Y35" s="6" t="str">
        <f t="shared" si="2"/>
        <v/>
      </c>
      <c r="Z35" s="7" t="str">
        <f t="shared" si="3"/>
        <v/>
      </c>
      <c r="AA35" s="6" t="str">
        <f t="shared" si="4"/>
        <v/>
      </c>
      <c r="AB35" s="7" t="str">
        <f>IFERROR(IF(AND(Q34="Impacto",Q35="Impacto"),(AB28-(+AB28*T35)),IF(Q35="Impacto",($M$34-(+$M$34*T35)),IF(Q35="Probabilidad",AB28,""))),"")</f>
        <v/>
      </c>
      <c r="AC35" s="8" t="str">
        <f t="shared" si="5"/>
        <v/>
      </c>
      <c r="AD35" s="10"/>
      <c r="AE35" s="18"/>
      <c r="AF35" s="3"/>
      <c r="AG35" s="17"/>
      <c r="AH35" s="17"/>
      <c r="AI35" s="18"/>
      <c r="AJ35" s="3"/>
      <c r="AK35" s="138"/>
      <c r="AL35" s="138"/>
      <c r="AM35" s="138"/>
      <c r="AN35" s="138"/>
      <c r="AO35" s="138"/>
      <c r="AP35" s="138"/>
      <c r="AQ35" s="138"/>
      <c r="AR35" s="138"/>
      <c r="AS35" s="138"/>
      <c r="AT35" s="138"/>
      <c r="AU35" s="138"/>
      <c r="AV35" s="138"/>
      <c r="AW35" s="138"/>
      <c r="AX35" s="138"/>
      <c r="AY35" s="138"/>
      <c r="AZ35" s="138"/>
      <c r="BA35" s="138"/>
      <c r="BB35" s="138"/>
      <c r="BC35" s="138"/>
      <c r="BD35" s="138"/>
    </row>
    <row r="36" spans="1:56" ht="151.5" customHeight="1" x14ac:dyDescent="0.3">
      <c r="A36" s="947"/>
      <c r="B36" s="947"/>
      <c r="C36" s="947"/>
      <c r="D36" s="947"/>
      <c r="E36" s="947"/>
      <c r="F36" s="947"/>
      <c r="G36" s="947"/>
      <c r="H36" s="947"/>
      <c r="I36" s="947"/>
      <c r="J36" s="947"/>
      <c r="K36" s="947"/>
      <c r="L36" s="947"/>
      <c r="M36" s="947"/>
      <c r="N36" s="947"/>
      <c r="O36" s="3">
        <v>3</v>
      </c>
      <c r="P36" s="12"/>
      <c r="Q36" s="3" t="str">
        <f t="shared" si="0"/>
        <v/>
      </c>
      <c r="R36" s="9"/>
      <c r="S36" s="9"/>
      <c r="T36" s="4" t="str">
        <f t="shared" si="1"/>
        <v/>
      </c>
      <c r="U36" s="9"/>
      <c r="V36" s="9"/>
      <c r="W36" s="9"/>
      <c r="X36" s="5" t="str">
        <f>IFERROR(IF(AND(Q35="Probabilidad",Q36="Probabilidad"),(Z35-(+Z35*T36)),IF(AND(Q35="Impacto",Q36="Probabilidad"),(Z34-(+Z34*T36)),IF(Q36="Impacto",Z35,""))),"")</f>
        <v/>
      </c>
      <c r="Y36" s="6" t="str">
        <f t="shared" si="2"/>
        <v/>
      </c>
      <c r="Z36" s="7" t="str">
        <f t="shared" si="3"/>
        <v/>
      </c>
      <c r="AA36" s="6" t="str">
        <f t="shared" si="4"/>
        <v/>
      </c>
      <c r="AB36" s="7" t="str">
        <f>IFERROR(IF(AND(Q35="Impacto",Q36="Impacto"),(AB35-(+AB35*T36)),IF(AND(Q35="Probabilidad",Q36="Impacto"),(AB34-(+AB34*T36)),IF(Q36="Probabilidad",AB35,""))),"")</f>
        <v/>
      </c>
      <c r="AC36" s="8" t="str">
        <f t="shared" si="5"/>
        <v/>
      </c>
      <c r="AD36" s="10"/>
      <c r="AE36" s="18"/>
      <c r="AF36" s="3"/>
      <c r="AG36" s="17"/>
      <c r="AH36" s="17"/>
      <c r="AI36" s="18"/>
      <c r="AJ36" s="3"/>
      <c r="AK36" s="138"/>
      <c r="AL36" s="138"/>
      <c r="AM36" s="138"/>
      <c r="AN36" s="138"/>
      <c r="AO36" s="138"/>
      <c r="AP36" s="138"/>
      <c r="AQ36" s="138"/>
      <c r="AR36" s="138"/>
      <c r="AS36" s="138"/>
      <c r="AT36" s="138"/>
      <c r="AU36" s="138"/>
      <c r="AV36" s="138"/>
      <c r="AW36" s="138"/>
      <c r="AX36" s="138"/>
      <c r="AY36" s="138"/>
      <c r="AZ36" s="138"/>
      <c r="BA36" s="138"/>
      <c r="BB36" s="138"/>
      <c r="BC36" s="138"/>
      <c r="BD36" s="138"/>
    </row>
    <row r="37" spans="1:56" ht="151.5" customHeight="1" x14ac:dyDescent="0.3">
      <c r="A37" s="947"/>
      <c r="B37" s="947"/>
      <c r="C37" s="947"/>
      <c r="D37" s="947"/>
      <c r="E37" s="947"/>
      <c r="F37" s="947"/>
      <c r="G37" s="947"/>
      <c r="H37" s="947"/>
      <c r="I37" s="947"/>
      <c r="J37" s="947"/>
      <c r="K37" s="947"/>
      <c r="L37" s="947"/>
      <c r="M37" s="947"/>
      <c r="N37" s="947"/>
      <c r="O37" s="3">
        <v>4</v>
      </c>
      <c r="P37" s="11"/>
      <c r="Q37" s="3" t="str">
        <f t="shared" si="0"/>
        <v/>
      </c>
      <c r="R37" s="9"/>
      <c r="S37" s="9"/>
      <c r="T37" s="4" t="str">
        <f t="shared" si="1"/>
        <v/>
      </c>
      <c r="U37" s="9"/>
      <c r="V37" s="9"/>
      <c r="W37" s="9"/>
      <c r="X37" s="5" t="str">
        <f>IFERROR(IF(AND(Q36="Probabilidad",Q37="Probabilidad"),(Z36-(+Z36*T37)),IF(AND(Q36="Impacto",Q37="Probabilidad"),(Z35-(+Z35*T37)),IF(Q37="Impacto",Z36,""))),"")</f>
        <v/>
      </c>
      <c r="Y37" s="6" t="str">
        <f t="shared" si="2"/>
        <v/>
      </c>
      <c r="Z37" s="7" t="str">
        <f t="shared" si="3"/>
        <v/>
      </c>
      <c r="AA37" s="6" t="str">
        <f t="shared" si="4"/>
        <v/>
      </c>
      <c r="AB37" s="7" t="str">
        <f>IFERROR(IF(AND(Q36="Impacto",Q37="Impacto"),(AB36-(+AB36*T37)),IF(AND(Q36="Probabilidad",Q37="Impacto"),(AB35-(+AB35*T37)),IF(Q37="Probabilidad",AB36,""))),"")</f>
        <v/>
      </c>
      <c r="AC37" s="8" t="str">
        <f t="shared" si="5"/>
        <v/>
      </c>
      <c r="AD37" s="10"/>
      <c r="AE37" s="18"/>
      <c r="AF37" s="3"/>
      <c r="AG37" s="17"/>
      <c r="AH37" s="17"/>
      <c r="AI37" s="18"/>
      <c r="AJ37" s="3"/>
      <c r="AK37" s="138"/>
      <c r="AL37" s="138"/>
      <c r="AM37" s="138"/>
      <c r="AN37" s="138"/>
      <c r="AO37" s="138"/>
      <c r="AP37" s="138"/>
      <c r="AQ37" s="138"/>
      <c r="AR37" s="138"/>
      <c r="AS37" s="138"/>
      <c r="AT37" s="138"/>
      <c r="AU37" s="138"/>
      <c r="AV37" s="138"/>
      <c r="AW37" s="138"/>
      <c r="AX37" s="138"/>
      <c r="AY37" s="138"/>
      <c r="AZ37" s="138"/>
      <c r="BA37" s="138"/>
      <c r="BB37" s="138"/>
      <c r="BC37" s="138"/>
      <c r="BD37" s="138"/>
    </row>
    <row r="38" spans="1:56" ht="151.5" customHeight="1" x14ac:dyDescent="0.3">
      <c r="A38" s="947"/>
      <c r="B38" s="947"/>
      <c r="C38" s="947"/>
      <c r="D38" s="947"/>
      <c r="E38" s="947"/>
      <c r="F38" s="947"/>
      <c r="G38" s="947"/>
      <c r="H38" s="947"/>
      <c r="I38" s="947"/>
      <c r="J38" s="947"/>
      <c r="K38" s="947"/>
      <c r="L38" s="947"/>
      <c r="M38" s="947"/>
      <c r="N38" s="947"/>
      <c r="O38" s="3">
        <v>5</v>
      </c>
      <c r="P38" s="11"/>
      <c r="Q38" s="3" t="str">
        <f t="shared" si="0"/>
        <v/>
      </c>
      <c r="R38" s="9"/>
      <c r="S38" s="9"/>
      <c r="T38" s="4" t="str">
        <f t="shared" si="1"/>
        <v/>
      </c>
      <c r="U38" s="9"/>
      <c r="V38" s="9"/>
      <c r="W38" s="9"/>
      <c r="X38" s="5" t="str">
        <f>IFERROR(IF(AND(Q37="Probabilidad",Q38="Probabilidad"),(Z37-(+Z37*T38)),IF(AND(Q37="Impacto",Q38="Probabilidad"),(Z36-(+Z36*T38)),IF(Q38="Impacto",Z37,""))),"")</f>
        <v/>
      </c>
      <c r="Y38" s="6" t="str">
        <f t="shared" si="2"/>
        <v/>
      </c>
      <c r="Z38" s="7" t="str">
        <f t="shared" si="3"/>
        <v/>
      </c>
      <c r="AA38" s="6" t="str">
        <f t="shared" si="4"/>
        <v/>
      </c>
      <c r="AB38" s="7" t="str">
        <f>IFERROR(IF(AND(Q37="Impacto",Q38="Impacto"),(AB37-(+AB37*T38)),IF(AND(Q37="Probabilidad",Q38="Impacto"),(AB36-(+AB36*T38)),IF(Q38="Probabilidad",AB37,""))),"")</f>
        <v/>
      </c>
      <c r="AC38" s="8" t="str">
        <f t="shared" si="5"/>
        <v/>
      </c>
      <c r="AD38" s="10"/>
      <c r="AE38" s="18"/>
      <c r="AF38" s="3"/>
      <c r="AG38" s="17"/>
      <c r="AH38" s="17"/>
      <c r="AI38" s="18"/>
      <c r="AJ38" s="3"/>
      <c r="AK38" s="138"/>
      <c r="AL38" s="138"/>
      <c r="AM38" s="138"/>
      <c r="AN38" s="138"/>
      <c r="AO38" s="138"/>
      <c r="AP38" s="138"/>
      <c r="AQ38" s="138"/>
      <c r="AR38" s="138"/>
      <c r="AS38" s="138"/>
      <c r="AT38" s="138"/>
      <c r="AU38" s="138"/>
      <c r="AV38" s="138"/>
      <c r="AW38" s="138"/>
      <c r="AX38" s="138"/>
      <c r="AY38" s="138"/>
      <c r="AZ38" s="138"/>
      <c r="BA38" s="138"/>
      <c r="BB38" s="138"/>
      <c r="BC38" s="138"/>
      <c r="BD38" s="138"/>
    </row>
    <row r="39" spans="1:56" ht="151.5" customHeight="1" x14ac:dyDescent="0.3">
      <c r="A39" s="948"/>
      <c r="B39" s="948"/>
      <c r="C39" s="948"/>
      <c r="D39" s="948"/>
      <c r="E39" s="948"/>
      <c r="F39" s="948"/>
      <c r="G39" s="948"/>
      <c r="H39" s="948"/>
      <c r="I39" s="948"/>
      <c r="J39" s="948"/>
      <c r="K39" s="948"/>
      <c r="L39" s="948"/>
      <c r="M39" s="948"/>
      <c r="N39" s="948"/>
      <c r="O39" s="3">
        <v>6</v>
      </c>
      <c r="P39" s="11"/>
      <c r="Q39" s="3" t="str">
        <f t="shared" si="0"/>
        <v/>
      </c>
      <c r="R39" s="9"/>
      <c r="S39" s="9"/>
      <c r="T39" s="4" t="str">
        <f t="shared" si="1"/>
        <v/>
      </c>
      <c r="U39" s="9"/>
      <c r="V39" s="9"/>
      <c r="W39" s="9"/>
      <c r="X39" s="5" t="str">
        <f>IFERROR(IF(AND(Q38="Probabilidad",Q39="Probabilidad"),(Z38-(+Z38*T39)),IF(AND(Q38="Impacto",Q39="Probabilidad"),(Z37-(+Z37*T39)),IF(Q39="Impacto",Z38,""))),"")</f>
        <v/>
      </c>
      <c r="Y39" s="6" t="str">
        <f t="shared" si="2"/>
        <v/>
      </c>
      <c r="Z39" s="7" t="str">
        <f t="shared" si="3"/>
        <v/>
      </c>
      <c r="AA39" s="6" t="str">
        <f t="shared" si="4"/>
        <v/>
      </c>
      <c r="AB39" s="7" t="str">
        <f>IFERROR(IF(AND(Q38="Impacto",Q39="Impacto"),(AB38-(+AB38*T39)),IF(AND(Q38="Probabilidad",Q39="Impacto"),(AB37-(+AB37*T39)),IF(Q39="Probabilidad",AB38,""))),"")</f>
        <v/>
      </c>
      <c r="AC39" s="8" t="str">
        <f t="shared" si="5"/>
        <v/>
      </c>
      <c r="AD39" s="10"/>
      <c r="AE39" s="18"/>
      <c r="AF39" s="3"/>
      <c r="AG39" s="17"/>
      <c r="AH39" s="17"/>
      <c r="AI39" s="18"/>
      <c r="AJ39" s="3"/>
      <c r="AK39" s="138"/>
      <c r="AL39" s="138"/>
      <c r="AM39" s="138"/>
      <c r="AN39" s="138"/>
      <c r="AO39" s="138"/>
      <c r="AP39" s="138"/>
      <c r="AQ39" s="138"/>
      <c r="AR39" s="138"/>
      <c r="AS39" s="138"/>
      <c r="AT39" s="138"/>
      <c r="AU39" s="138"/>
      <c r="AV39" s="138"/>
      <c r="AW39" s="138"/>
      <c r="AX39" s="138"/>
      <c r="AY39" s="138"/>
      <c r="AZ39" s="138"/>
      <c r="BA39" s="138"/>
      <c r="BB39" s="138"/>
      <c r="BC39" s="138"/>
      <c r="BD39" s="138"/>
    </row>
    <row r="40" spans="1:56" ht="151.5" customHeight="1" x14ac:dyDescent="0.3">
      <c r="A40" s="951">
        <v>6</v>
      </c>
      <c r="B40" s="952"/>
      <c r="C40" s="952"/>
      <c r="D40" s="952"/>
      <c r="E40" s="952"/>
      <c r="F40" s="952"/>
      <c r="G40" s="951"/>
      <c r="H40" s="949" t="str">
        <f>IF(G40&lt;=0,"",IF(G40&lt;=2,"Muy Baja",IF(G40&lt;=24,"Baja",IF(G40&lt;=500,"Media",IF(G40&lt;=5000,"Alta","Muy Alta")))))</f>
        <v/>
      </c>
      <c r="I40" s="946" t="str">
        <f>IF(H40="","",IF(H40="Muy Baja",0.2,IF(H40="Baja",0.4,IF(H40="Media",0.6,IF(H40="Alta",0.8,IF(H40="Muy Alta",1,))))))</f>
        <v/>
      </c>
      <c r="J40" s="946"/>
      <c r="K40" s="946" t="str">
        <f>IF(NOT(ISERROR(MATCH(J40,'Tabla Impacto'!$B$222:$B$224,0))),'Tabla Impacto'!$F$224&amp;"Por favor no seleccionar los criterios de impacto(Afectación Económica o presupuestal y Pérdida Reputacional)",J40)</f>
        <v>❌Por favor no seleccionar los criterios de impacto(Afectación Económica o presupuestal y Pérdida Reputacional)</v>
      </c>
      <c r="L40" s="949" t="str">
        <f>IF(OR(K40='Tabla Impacto'!$C$12,K40='Tabla Impacto'!$D$12),"Leve",IF(OR(K40='Tabla Impacto'!$C$13,K40='Tabla Impacto'!$D$13),"Menor",IF(OR(K40='Tabla Impacto'!$C$14,K40='Tabla Impacto'!$D$14),"Moderado",IF(OR(K40='Tabla Impacto'!$C$15,K40='Tabla Impacto'!$D$15),"Mayor",IF(OR(K40='Tabla Impacto'!$C$16,K40='Tabla Impacto'!$D$16),"Catastrófico","")))))</f>
        <v/>
      </c>
      <c r="M40" s="946" t="str">
        <f>IF(L40="","",IF(L40="Leve",0.2,IF(L40="Menor",0.4,IF(L40="Moderado",0.6,IF(L40="Mayor",0.8,IF(L40="Catastrófico",1,))))))</f>
        <v/>
      </c>
      <c r="N40" s="950"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
        <v>1</v>
      </c>
      <c r="P40" s="11"/>
      <c r="Q40" s="3" t="str">
        <f t="shared" si="0"/>
        <v/>
      </c>
      <c r="R40" s="9"/>
      <c r="S40" s="9"/>
      <c r="T40" s="4" t="str">
        <f t="shared" si="1"/>
        <v/>
      </c>
      <c r="U40" s="9"/>
      <c r="V40" s="9"/>
      <c r="W40" s="9"/>
      <c r="X40" s="5" t="str">
        <f>IFERROR(IF(Q40="Probabilidad",(I40-(+I40*T40)),IF(Q40="Impacto",I40,"")),"")</f>
        <v/>
      </c>
      <c r="Y40" s="6" t="str">
        <f t="shared" si="2"/>
        <v/>
      </c>
      <c r="Z40" s="7" t="str">
        <f t="shared" si="3"/>
        <v/>
      </c>
      <c r="AA40" s="6" t="str">
        <f t="shared" si="4"/>
        <v/>
      </c>
      <c r="AB40" s="7" t="str">
        <f>IFERROR(IF(Q40="Impacto",(M40-(+M40*T40)),IF(Q40="Probabilidad",M40,"")),"")</f>
        <v/>
      </c>
      <c r="AC40" s="8" t="str">
        <f t="shared" si="5"/>
        <v/>
      </c>
      <c r="AD40" s="10"/>
      <c r="AE40" s="18"/>
      <c r="AF40" s="3"/>
      <c r="AG40" s="17"/>
      <c r="AH40" s="17"/>
      <c r="AI40" s="18"/>
      <c r="AJ40" s="3"/>
      <c r="AK40" s="138"/>
      <c r="AL40" s="138"/>
      <c r="AM40" s="138"/>
      <c r="AN40" s="138"/>
      <c r="AO40" s="138"/>
      <c r="AP40" s="138"/>
      <c r="AQ40" s="138"/>
      <c r="AR40" s="138"/>
      <c r="AS40" s="138"/>
      <c r="AT40" s="138"/>
      <c r="AU40" s="138"/>
      <c r="AV40" s="138"/>
      <c r="AW40" s="138"/>
      <c r="AX40" s="138"/>
      <c r="AY40" s="138"/>
      <c r="AZ40" s="138"/>
      <c r="BA40" s="138"/>
      <c r="BB40" s="138"/>
      <c r="BC40" s="138"/>
      <c r="BD40" s="138"/>
    </row>
    <row r="41" spans="1:56" ht="151.5" customHeight="1" x14ac:dyDescent="0.3">
      <c r="A41" s="947"/>
      <c r="B41" s="947"/>
      <c r="C41" s="947"/>
      <c r="D41" s="947"/>
      <c r="E41" s="947"/>
      <c r="F41" s="947"/>
      <c r="G41" s="947"/>
      <c r="H41" s="947"/>
      <c r="I41" s="947"/>
      <c r="J41" s="947"/>
      <c r="K41" s="947"/>
      <c r="L41" s="947"/>
      <c r="M41" s="947"/>
      <c r="N41" s="947"/>
      <c r="O41" s="3">
        <v>2</v>
      </c>
      <c r="P41" s="11"/>
      <c r="Q41" s="3" t="str">
        <f t="shared" si="0"/>
        <v/>
      </c>
      <c r="R41" s="9"/>
      <c r="S41" s="9"/>
      <c r="T41" s="4" t="str">
        <f t="shared" si="1"/>
        <v/>
      </c>
      <c r="U41" s="9"/>
      <c r="V41" s="9"/>
      <c r="W41" s="9"/>
      <c r="X41" s="5" t="str">
        <f>IFERROR(IF(AND(Q40="Probabilidad",Q41="Probabilidad"),(Z40-(+Z40*T41)),IF(Q41="Probabilidad",(I40-(+I40*T41)),IF(Q41="Impacto",Z40,""))),"")</f>
        <v/>
      </c>
      <c r="Y41" s="6" t="str">
        <f t="shared" si="2"/>
        <v/>
      </c>
      <c r="Z41" s="7" t="str">
        <f t="shared" si="3"/>
        <v/>
      </c>
      <c r="AA41" s="6" t="str">
        <f t="shared" si="4"/>
        <v/>
      </c>
      <c r="AB41" s="7" t="str">
        <f>IFERROR(IF(AND(Q40="Impacto",Q41="Impacto"),(AB34-(+AB34*T41)),IF(Q41="Impacto",($M$40-(+$M$40*T41)),IF(Q41="Probabilidad",AB34,""))),"")</f>
        <v/>
      </c>
      <c r="AC41" s="8" t="str">
        <f t="shared" si="5"/>
        <v/>
      </c>
      <c r="AD41" s="10"/>
      <c r="AE41" s="18"/>
      <c r="AF41" s="3"/>
      <c r="AG41" s="17"/>
      <c r="AH41" s="17"/>
      <c r="AI41" s="18"/>
      <c r="AJ41" s="3"/>
      <c r="AK41" s="138"/>
      <c r="AL41" s="138"/>
      <c r="AM41" s="138"/>
      <c r="AN41" s="138"/>
      <c r="AO41" s="138"/>
      <c r="AP41" s="138"/>
      <c r="AQ41" s="138"/>
      <c r="AR41" s="138"/>
      <c r="AS41" s="138"/>
      <c r="AT41" s="138"/>
      <c r="AU41" s="138"/>
      <c r="AV41" s="138"/>
      <c r="AW41" s="138"/>
      <c r="AX41" s="138"/>
      <c r="AY41" s="138"/>
      <c r="AZ41" s="138"/>
      <c r="BA41" s="138"/>
      <c r="BB41" s="138"/>
      <c r="BC41" s="138"/>
      <c r="BD41" s="138"/>
    </row>
    <row r="42" spans="1:56" ht="151.5" customHeight="1" x14ac:dyDescent="0.3">
      <c r="A42" s="947"/>
      <c r="B42" s="947"/>
      <c r="C42" s="947"/>
      <c r="D42" s="947"/>
      <c r="E42" s="947"/>
      <c r="F42" s="947"/>
      <c r="G42" s="947"/>
      <c r="H42" s="947"/>
      <c r="I42" s="947"/>
      <c r="J42" s="947"/>
      <c r="K42" s="947"/>
      <c r="L42" s="947"/>
      <c r="M42" s="947"/>
      <c r="N42" s="947"/>
      <c r="O42" s="3">
        <v>3</v>
      </c>
      <c r="P42" s="12"/>
      <c r="Q42" s="3" t="str">
        <f t="shared" si="0"/>
        <v/>
      </c>
      <c r="R42" s="9"/>
      <c r="S42" s="9"/>
      <c r="T42" s="4" t="str">
        <f t="shared" si="1"/>
        <v/>
      </c>
      <c r="U42" s="9"/>
      <c r="V42" s="9"/>
      <c r="W42" s="9"/>
      <c r="X42" s="5" t="str">
        <f>IFERROR(IF(AND(Q41="Probabilidad",Q42="Probabilidad"),(Z41-(+Z41*T42)),IF(AND(Q41="Impacto",Q42="Probabilidad"),(Z40-(+Z40*T42)),IF(Q42="Impacto",Z41,""))),"")</f>
        <v/>
      </c>
      <c r="Y42" s="6" t="str">
        <f t="shared" si="2"/>
        <v/>
      </c>
      <c r="Z42" s="7" t="str">
        <f t="shared" si="3"/>
        <v/>
      </c>
      <c r="AA42" s="6" t="str">
        <f t="shared" si="4"/>
        <v/>
      </c>
      <c r="AB42" s="7" t="str">
        <f>IFERROR(IF(AND(Q41="Impacto",Q42="Impacto"),(AB41-(+AB41*T42)),IF(AND(Q41="Probabilidad",Q42="Impacto"),(AB40-(+AB40*T42)),IF(Q42="Probabilidad",AB41,""))),"")</f>
        <v/>
      </c>
      <c r="AC42" s="8" t="str">
        <f t="shared" si="5"/>
        <v/>
      </c>
      <c r="AD42" s="10"/>
      <c r="AE42" s="18"/>
      <c r="AF42" s="3"/>
      <c r="AG42" s="17"/>
      <c r="AH42" s="17"/>
      <c r="AI42" s="18"/>
      <c r="AJ42" s="3"/>
      <c r="AK42" s="138"/>
      <c r="AL42" s="138"/>
      <c r="AM42" s="138"/>
      <c r="AN42" s="138"/>
      <c r="AO42" s="138"/>
      <c r="AP42" s="138"/>
      <c r="AQ42" s="138"/>
      <c r="AR42" s="138"/>
      <c r="AS42" s="138"/>
      <c r="AT42" s="138"/>
      <c r="AU42" s="138"/>
      <c r="AV42" s="138"/>
      <c r="AW42" s="138"/>
      <c r="AX42" s="138"/>
      <c r="AY42" s="138"/>
      <c r="AZ42" s="138"/>
      <c r="BA42" s="138"/>
      <c r="BB42" s="138"/>
      <c r="BC42" s="138"/>
      <c r="BD42" s="138"/>
    </row>
    <row r="43" spans="1:56" ht="151.5" customHeight="1" x14ac:dyDescent="0.3">
      <c r="A43" s="947"/>
      <c r="B43" s="947"/>
      <c r="C43" s="947"/>
      <c r="D43" s="947"/>
      <c r="E43" s="947"/>
      <c r="F43" s="947"/>
      <c r="G43" s="947"/>
      <c r="H43" s="947"/>
      <c r="I43" s="947"/>
      <c r="J43" s="947"/>
      <c r="K43" s="947"/>
      <c r="L43" s="947"/>
      <c r="M43" s="947"/>
      <c r="N43" s="947"/>
      <c r="O43" s="3">
        <v>4</v>
      </c>
      <c r="P43" s="11"/>
      <c r="Q43" s="3" t="str">
        <f t="shared" si="0"/>
        <v/>
      </c>
      <c r="R43" s="9"/>
      <c r="S43" s="9"/>
      <c r="T43" s="4" t="str">
        <f t="shared" si="1"/>
        <v/>
      </c>
      <c r="U43" s="9"/>
      <c r="V43" s="9"/>
      <c r="W43" s="9"/>
      <c r="X43" s="5" t="str">
        <f>IFERROR(IF(AND(Q42="Probabilidad",Q43="Probabilidad"),(Z42-(+Z42*T43)),IF(AND(Q42="Impacto",Q43="Probabilidad"),(Z41-(+Z41*T43)),IF(Q43="Impacto",Z42,""))),"")</f>
        <v/>
      </c>
      <c r="Y43" s="6" t="str">
        <f t="shared" si="2"/>
        <v/>
      </c>
      <c r="Z43" s="7" t="str">
        <f t="shared" si="3"/>
        <v/>
      </c>
      <c r="AA43" s="6" t="str">
        <f t="shared" si="4"/>
        <v/>
      </c>
      <c r="AB43" s="7" t="str">
        <f>IFERROR(IF(AND(Q42="Impacto",Q43="Impacto"),(AB42-(+AB42*T43)),IF(AND(Q42="Probabilidad",Q43="Impacto"),(AB41-(+AB41*T43)),IF(Q43="Probabilidad",AB42,""))),"")</f>
        <v/>
      </c>
      <c r="AC43" s="8" t="str">
        <f t="shared" si="5"/>
        <v/>
      </c>
      <c r="AD43" s="10"/>
      <c r="AE43" s="18"/>
      <c r="AF43" s="3"/>
      <c r="AG43" s="17"/>
      <c r="AH43" s="17"/>
      <c r="AI43" s="18"/>
      <c r="AJ43" s="3"/>
      <c r="AK43" s="138"/>
      <c r="AL43" s="138"/>
      <c r="AM43" s="138"/>
      <c r="AN43" s="138"/>
      <c r="AO43" s="138"/>
      <c r="AP43" s="138"/>
      <c r="AQ43" s="138"/>
      <c r="AR43" s="138"/>
      <c r="AS43" s="138"/>
      <c r="AT43" s="138"/>
      <c r="AU43" s="138"/>
      <c r="AV43" s="138"/>
      <c r="AW43" s="138"/>
      <c r="AX43" s="138"/>
      <c r="AY43" s="138"/>
      <c r="AZ43" s="138"/>
      <c r="BA43" s="138"/>
      <c r="BB43" s="138"/>
      <c r="BC43" s="138"/>
      <c r="BD43" s="138"/>
    </row>
    <row r="44" spans="1:56" ht="151.5" customHeight="1" x14ac:dyDescent="0.3">
      <c r="A44" s="947"/>
      <c r="B44" s="947"/>
      <c r="C44" s="947"/>
      <c r="D44" s="947"/>
      <c r="E44" s="947"/>
      <c r="F44" s="947"/>
      <c r="G44" s="947"/>
      <c r="H44" s="947"/>
      <c r="I44" s="947"/>
      <c r="J44" s="947"/>
      <c r="K44" s="947"/>
      <c r="L44" s="947"/>
      <c r="M44" s="947"/>
      <c r="N44" s="947"/>
      <c r="O44" s="3">
        <v>5</v>
      </c>
      <c r="P44" s="11"/>
      <c r="Q44" s="3" t="str">
        <f t="shared" si="0"/>
        <v/>
      </c>
      <c r="R44" s="9"/>
      <c r="S44" s="9"/>
      <c r="T44" s="4" t="str">
        <f t="shared" si="1"/>
        <v/>
      </c>
      <c r="U44" s="9"/>
      <c r="V44" s="9"/>
      <c r="W44" s="9"/>
      <c r="X44" s="5" t="str">
        <f>IFERROR(IF(AND(Q43="Probabilidad",Q44="Probabilidad"),(Z43-(+Z43*T44)),IF(AND(Q43="Impacto",Q44="Probabilidad"),(Z42-(+Z42*T44)),IF(Q44="Impacto",Z43,""))),"")</f>
        <v/>
      </c>
      <c r="Y44" s="6" t="str">
        <f t="shared" si="2"/>
        <v/>
      </c>
      <c r="Z44" s="7" t="str">
        <f t="shared" si="3"/>
        <v/>
      </c>
      <c r="AA44" s="6" t="str">
        <f t="shared" si="4"/>
        <v/>
      </c>
      <c r="AB44" s="7" t="str">
        <f>IFERROR(IF(AND(Q43="Impacto",Q44="Impacto"),(AB43-(+AB43*T44)),IF(AND(Q43="Probabilidad",Q44="Impacto"),(AB42-(+AB42*T44)),IF(Q44="Probabilidad",AB43,""))),"")</f>
        <v/>
      </c>
      <c r="AC44" s="8" t="str">
        <f t="shared" si="5"/>
        <v/>
      </c>
      <c r="AD44" s="10"/>
      <c r="AE44" s="18"/>
      <c r="AF44" s="3"/>
      <c r="AG44" s="17"/>
      <c r="AH44" s="17"/>
      <c r="AI44" s="18"/>
      <c r="AJ44" s="3"/>
      <c r="AK44" s="138"/>
      <c r="AL44" s="138"/>
      <c r="AM44" s="138"/>
      <c r="AN44" s="138"/>
      <c r="AO44" s="138"/>
      <c r="AP44" s="138"/>
      <c r="AQ44" s="138"/>
      <c r="AR44" s="138"/>
      <c r="AS44" s="138"/>
      <c r="AT44" s="138"/>
      <c r="AU44" s="138"/>
      <c r="AV44" s="138"/>
      <c r="AW44" s="138"/>
      <c r="AX44" s="138"/>
      <c r="AY44" s="138"/>
      <c r="AZ44" s="138"/>
      <c r="BA44" s="138"/>
      <c r="BB44" s="138"/>
      <c r="BC44" s="138"/>
      <c r="BD44" s="138"/>
    </row>
    <row r="45" spans="1:56" ht="151.5" customHeight="1" x14ac:dyDescent="0.3">
      <c r="A45" s="948"/>
      <c r="B45" s="948"/>
      <c r="C45" s="948"/>
      <c r="D45" s="948"/>
      <c r="E45" s="948"/>
      <c r="F45" s="948"/>
      <c r="G45" s="948"/>
      <c r="H45" s="948"/>
      <c r="I45" s="948"/>
      <c r="J45" s="948"/>
      <c r="K45" s="948"/>
      <c r="L45" s="948"/>
      <c r="M45" s="948"/>
      <c r="N45" s="948"/>
      <c r="O45" s="3">
        <v>6</v>
      </c>
      <c r="P45" s="11"/>
      <c r="Q45" s="3" t="str">
        <f t="shared" si="0"/>
        <v/>
      </c>
      <c r="R45" s="9"/>
      <c r="S45" s="9"/>
      <c r="T45" s="4" t="str">
        <f t="shared" si="1"/>
        <v/>
      </c>
      <c r="U45" s="9"/>
      <c r="V45" s="9"/>
      <c r="W45" s="9"/>
      <c r="X45" s="5" t="str">
        <f>IFERROR(IF(AND(Q44="Probabilidad",Q45="Probabilidad"),(Z44-(+Z44*T45)),IF(AND(Q44="Impacto",Q45="Probabilidad"),(Z43-(+Z43*T45)),IF(Q45="Impacto",Z44,""))),"")</f>
        <v/>
      </c>
      <c r="Y45" s="6" t="str">
        <f t="shared" si="2"/>
        <v/>
      </c>
      <c r="Z45" s="7" t="str">
        <f t="shared" si="3"/>
        <v/>
      </c>
      <c r="AA45" s="6" t="str">
        <f t="shared" si="4"/>
        <v/>
      </c>
      <c r="AB45" s="7" t="str">
        <f>IFERROR(IF(AND(Q44="Impacto",Q45="Impacto"),(AB44-(+AB44*T45)),IF(AND(Q44="Probabilidad",Q45="Impacto"),(AB43-(+AB43*T45)),IF(Q45="Probabilidad",AB44,""))),"")</f>
        <v/>
      </c>
      <c r="AC45" s="8" t="str">
        <f t="shared" si="5"/>
        <v/>
      </c>
      <c r="AD45" s="10"/>
      <c r="AE45" s="18"/>
      <c r="AF45" s="3"/>
      <c r="AG45" s="17"/>
      <c r="AH45" s="17"/>
      <c r="AI45" s="18"/>
      <c r="AJ45" s="3"/>
      <c r="AK45" s="138"/>
      <c r="AL45" s="138"/>
      <c r="AM45" s="138"/>
      <c r="AN45" s="138"/>
      <c r="AO45" s="138"/>
      <c r="AP45" s="138"/>
      <c r="AQ45" s="138"/>
      <c r="AR45" s="138"/>
      <c r="AS45" s="138"/>
      <c r="AT45" s="138"/>
      <c r="AU45" s="138"/>
      <c r="AV45" s="138"/>
      <c r="AW45" s="138"/>
      <c r="AX45" s="138"/>
      <c r="AY45" s="138"/>
      <c r="AZ45" s="138"/>
      <c r="BA45" s="138"/>
      <c r="BB45" s="138"/>
      <c r="BC45" s="138"/>
      <c r="BD45" s="138"/>
    </row>
    <row r="46" spans="1:56" ht="151.5" customHeight="1" x14ac:dyDescent="0.3">
      <c r="A46" s="951">
        <v>7</v>
      </c>
      <c r="B46" s="952"/>
      <c r="C46" s="952"/>
      <c r="D46" s="952"/>
      <c r="E46" s="952"/>
      <c r="F46" s="952"/>
      <c r="G46" s="951"/>
      <c r="H46" s="949" t="str">
        <f>IF(G46&lt;=0,"",IF(G46&lt;=2,"Muy Baja",IF(G46&lt;=24,"Baja",IF(G46&lt;=500,"Media",IF(G46&lt;=5000,"Alta","Muy Alta")))))</f>
        <v/>
      </c>
      <c r="I46" s="946" t="str">
        <f>IF(H46="","",IF(H46="Muy Baja",0.2,IF(H46="Baja",0.4,IF(H46="Media",0.6,IF(H46="Alta",0.8,IF(H46="Muy Alta",1,))))))</f>
        <v/>
      </c>
      <c r="J46" s="946"/>
      <c r="K46" s="946" t="str">
        <f>IF(NOT(ISERROR(MATCH(J46,'Tabla Impacto'!$B$222:$B$224,0))),'Tabla Impacto'!$F$224&amp;"Por favor no seleccionar los criterios de impacto(Afectación Económica o presupuestal y Pérdida Reputacional)",J46)</f>
        <v>❌Por favor no seleccionar los criterios de impacto(Afectación Económica o presupuestal y Pérdida Reputacional)</v>
      </c>
      <c r="L46" s="949" t="str">
        <f>IF(OR(K46='Tabla Impacto'!$C$12,K46='Tabla Impacto'!$D$12),"Leve",IF(OR(K46='Tabla Impacto'!$C$13,K46='Tabla Impacto'!$D$13),"Menor",IF(OR(K46='Tabla Impacto'!$C$14,K46='Tabla Impacto'!$D$14),"Moderado",IF(OR(K46='Tabla Impacto'!$C$15,K46='Tabla Impacto'!$D$15),"Mayor",IF(OR(K46='Tabla Impacto'!$C$16,K46='Tabla Impacto'!$D$16),"Catastrófico","")))))</f>
        <v/>
      </c>
      <c r="M46" s="946" t="str">
        <f>IF(L46="","",IF(L46="Leve",0.2,IF(L46="Menor",0.4,IF(L46="Moderado",0.6,IF(L46="Mayor",0.8,IF(L46="Catastrófico",1,))))))</f>
        <v/>
      </c>
      <c r="N46" s="950"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
        <v>1</v>
      </c>
      <c r="P46" s="11"/>
      <c r="Q46" s="3" t="str">
        <f t="shared" si="0"/>
        <v/>
      </c>
      <c r="R46" s="9"/>
      <c r="S46" s="9"/>
      <c r="T46" s="4" t="str">
        <f t="shared" si="1"/>
        <v/>
      </c>
      <c r="U46" s="9"/>
      <c r="V46" s="9"/>
      <c r="W46" s="9"/>
      <c r="X46" s="5" t="str">
        <f>IFERROR(IF(Q46="Probabilidad",(I46-(+I46*T46)),IF(Q46="Impacto",I46,"")),"")</f>
        <v/>
      </c>
      <c r="Y46" s="6" t="str">
        <f t="shared" si="2"/>
        <v/>
      </c>
      <c r="Z46" s="7" t="str">
        <f t="shared" si="3"/>
        <v/>
      </c>
      <c r="AA46" s="6" t="str">
        <f t="shared" si="4"/>
        <v/>
      </c>
      <c r="AB46" s="7" t="str">
        <f>IFERROR(IF(Q46="Impacto",(M46-(+M46*T46)),IF(Q46="Probabilidad",M46,"")),"")</f>
        <v/>
      </c>
      <c r="AC46" s="8" t="str">
        <f t="shared" si="5"/>
        <v/>
      </c>
      <c r="AD46" s="10"/>
      <c r="AE46" s="18"/>
      <c r="AF46" s="3"/>
      <c r="AG46" s="17"/>
      <c r="AH46" s="17"/>
      <c r="AI46" s="18"/>
      <c r="AJ46" s="3"/>
      <c r="AK46" s="138"/>
      <c r="AL46" s="138"/>
      <c r="AM46" s="138"/>
      <c r="AN46" s="138"/>
      <c r="AO46" s="138"/>
      <c r="AP46" s="138"/>
      <c r="AQ46" s="138"/>
      <c r="AR46" s="138"/>
      <c r="AS46" s="138"/>
      <c r="AT46" s="138"/>
      <c r="AU46" s="138"/>
      <c r="AV46" s="138"/>
      <c r="AW46" s="138"/>
      <c r="AX46" s="138"/>
      <c r="AY46" s="138"/>
      <c r="AZ46" s="138"/>
      <c r="BA46" s="138"/>
      <c r="BB46" s="138"/>
      <c r="BC46" s="138"/>
      <c r="BD46" s="138"/>
    </row>
    <row r="47" spans="1:56" ht="151.5" customHeight="1" x14ac:dyDescent="0.3">
      <c r="A47" s="947"/>
      <c r="B47" s="947"/>
      <c r="C47" s="947"/>
      <c r="D47" s="947"/>
      <c r="E47" s="947"/>
      <c r="F47" s="947"/>
      <c r="G47" s="947"/>
      <c r="H47" s="947"/>
      <c r="I47" s="947"/>
      <c r="J47" s="947"/>
      <c r="K47" s="947"/>
      <c r="L47" s="947"/>
      <c r="M47" s="947"/>
      <c r="N47" s="947"/>
      <c r="O47" s="3">
        <v>2</v>
      </c>
      <c r="P47" s="11"/>
      <c r="Q47" s="3" t="str">
        <f t="shared" si="0"/>
        <v/>
      </c>
      <c r="R47" s="9"/>
      <c r="S47" s="9"/>
      <c r="T47" s="4" t="str">
        <f t="shared" si="1"/>
        <v/>
      </c>
      <c r="U47" s="9"/>
      <c r="V47" s="9"/>
      <c r="W47" s="9"/>
      <c r="X47" s="5" t="str">
        <f>IFERROR(IF(AND(Q46="Probabilidad",Q47="Probabilidad"),(Z46-(+Z46*T47)),IF(Q47="Probabilidad",(I46-(+I46*T47)),IF(Q47="Impacto",Z46,""))),"")</f>
        <v/>
      </c>
      <c r="Y47" s="6" t="str">
        <f t="shared" si="2"/>
        <v/>
      </c>
      <c r="Z47" s="7" t="str">
        <f t="shared" si="3"/>
        <v/>
      </c>
      <c r="AA47" s="6" t="str">
        <f t="shared" si="4"/>
        <v/>
      </c>
      <c r="AB47" s="7" t="str">
        <f>IFERROR(IF(AND(Q46="Impacto",Q47="Impacto"),(AB40-(+AB40*T47)),IF(Q47="Impacto",($M$46-(+$M$46*T47)),IF(Q47="Probabilidad",AB40,""))),"")</f>
        <v/>
      </c>
      <c r="AC47" s="8" t="str">
        <f t="shared" si="5"/>
        <v/>
      </c>
      <c r="AD47" s="10"/>
      <c r="AE47" s="18"/>
      <c r="AF47" s="3"/>
      <c r="AG47" s="17"/>
      <c r="AH47" s="17"/>
      <c r="AI47" s="18"/>
      <c r="AJ47" s="3"/>
      <c r="AK47" s="138"/>
      <c r="AL47" s="138"/>
      <c r="AM47" s="138"/>
      <c r="AN47" s="138"/>
      <c r="AO47" s="138"/>
      <c r="AP47" s="138"/>
      <c r="AQ47" s="138"/>
      <c r="AR47" s="138"/>
      <c r="AS47" s="138"/>
      <c r="AT47" s="138"/>
      <c r="AU47" s="138"/>
      <c r="AV47" s="138"/>
      <c r="AW47" s="138"/>
      <c r="AX47" s="138"/>
      <c r="AY47" s="138"/>
      <c r="AZ47" s="138"/>
      <c r="BA47" s="138"/>
      <c r="BB47" s="138"/>
      <c r="BC47" s="138"/>
      <c r="BD47" s="138"/>
    </row>
    <row r="48" spans="1:56" ht="151.5" customHeight="1" x14ac:dyDescent="0.3">
      <c r="A48" s="947"/>
      <c r="B48" s="947"/>
      <c r="C48" s="947"/>
      <c r="D48" s="947"/>
      <c r="E48" s="947"/>
      <c r="F48" s="947"/>
      <c r="G48" s="947"/>
      <c r="H48" s="947"/>
      <c r="I48" s="947"/>
      <c r="J48" s="947"/>
      <c r="K48" s="947"/>
      <c r="L48" s="947"/>
      <c r="M48" s="947"/>
      <c r="N48" s="947"/>
      <c r="O48" s="3">
        <v>3</v>
      </c>
      <c r="P48" s="12"/>
      <c r="Q48" s="3" t="str">
        <f t="shared" si="0"/>
        <v/>
      </c>
      <c r="R48" s="9"/>
      <c r="S48" s="9"/>
      <c r="T48" s="4" t="str">
        <f t="shared" si="1"/>
        <v/>
      </c>
      <c r="U48" s="9"/>
      <c r="V48" s="9"/>
      <c r="W48" s="9"/>
      <c r="X48" s="5" t="str">
        <f>IFERROR(IF(AND(Q47="Probabilidad",Q48="Probabilidad"),(Z47-(+Z47*T48)),IF(AND(Q47="Impacto",Q48="Probabilidad"),(Z46-(+Z46*T48)),IF(Q48="Impacto",Z47,""))),"")</f>
        <v/>
      </c>
      <c r="Y48" s="6" t="str">
        <f t="shared" si="2"/>
        <v/>
      </c>
      <c r="Z48" s="7" t="str">
        <f t="shared" si="3"/>
        <v/>
      </c>
      <c r="AA48" s="6" t="str">
        <f t="shared" si="4"/>
        <v/>
      </c>
      <c r="AB48" s="7" t="str">
        <f>IFERROR(IF(AND(Q47="Impacto",Q48="Impacto"),(AB47-(+AB47*T48)),IF(AND(Q47="Probabilidad",Q48="Impacto"),(AB46-(+AB46*T48)),IF(Q48="Probabilidad",AB47,""))),"")</f>
        <v/>
      </c>
      <c r="AC48" s="8" t="str">
        <f t="shared" si="5"/>
        <v/>
      </c>
      <c r="AD48" s="10"/>
      <c r="AE48" s="18"/>
      <c r="AF48" s="3"/>
      <c r="AG48" s="17"/>
      <c r="AH48" s="17"/>
      <c r="AI48" s="18"/>
      <c r="AJ48" s="3"/>
      <c r="AK48" s="138"/>
      <c r="AL48" s="138"/>
      <c r="AM48" s="138"/>
      <c r="AN48" s="138"/>
      <c r="AO48" s="138"/>
      <c r="AP48" s="138"/>
      <c r="AQ48" s="138"/>
      <c r="AR48" s="138"/>
      <c r="AS48" s="138"/>
      <c r="AT48" s="138"/>
      <c r="AU48" s="138"/>
      <c r="AV48" s="138"/>
      <c r="AW48" s="138"/>
      <c r="AX48" s="138"/>
      <c r="AY48" s="138"/>
      <c r="AZ48" s="138"/>
      <c r="BA48" s="138"/>
      <c r="BB48" s="138"/>
      <c r="BC48" s="138"/>
      <c r="BD48" s="138"/>
    </row>
    <row r="49" spans="1:56" ht="151.5" customHeight="1" x14ac:dyDescent="0.3">
      <c r="A49" s="947"/>
      <c r="B49" s="947"/>
      <c r="C49" s="947"/>
      <c r="D49" s="947"/>
      <c r="E49" s="947"/>
      <c r="F49" s="947"/>
      <c r="G49" s="947"/>
      <c r="H49" s="947"/>
      <c r="I49" s="947"/>
      <c r="J49" s="947"/>
      <c r="K49" s="947"/>
      <c r="L49" s="947"/>
      <c r="M49" s="947"/>
      <c r="N49" s="947"/>
      <c r="O49" s="3">
        <v>4</v>
      </c>
      <c r="P49" s="11"/>
      <c r="Q49" s="3" t="str">
        <f t="shared" si="0"/>
        <v/>
      </c>
      <c r="R49" s="9"/>
      <c r="S49" s="9"/>
      <c r="T49" s="4" t="str">
        <f t="shared" si="1"/>
        <v/>
      </c>
      <c r="U49" s="9"/>
      <c r="V49" s="9"/>
      <c r="W49" s="9"/>
      <c r="X49" s="5" t="str">
        <f>IFERROR(IF(AND(Q48="Probabilidad",Q49="Probabilidad"),(Z48-(+Z48*T49)),IF(AND(Q48="Impacto",Q49="Probabilidad"),(Z47-(+Z47*T49)),IF(Q49="Impacto",Z48,""))),"")</f>
        <v/>
      </c>
      <c r="Y49" s="6" t="str">
        <f t="shared" si="2"/>
        <v/>
      </c>
      <c r="Z49" s="7" t="str">
        <f t="shared" si="3"/>
        <v/>
      </c>
      <c r="AA49" s="6" t="str">
        <f t="shared" si="4"/>
        <v/>
      </c>
      <c r="AB49" s="7" t="str">
        <f>IFERROR(IF(AND(Q48="Impacto",Q49="Impacto"),(AB48-(+AB48*T49)),IF(AND(Q48="Probabilidad",Q49="Impacto"),(AB47-(+AB47*T49)),IF(Q49="Probabilidad",AB48,""))),"")</f>
        <v/>
      </c>
      <c r="AC49" s="8" t="str">
        <f t="shared" si="5"/>
        <v/>
      </c>
      <c r="AD49" s="10"/>
      <c r="AE49" s="18"/>
      <c r="AF49" s="3"/>
      <c r="AG49" s="17"/>
      <c r="AH49" s="17"/>
      <c r="AI49" s="18"/>
      <c r="AJ49" s="3"/>
      <c r="AK49" s="138"/>
      <c r="AL49" s="138"/>
      <c r="AM49" s="138"/>
      <c r="AN49" s="138"/>
      <c r="AO49" s="138"/>
      <c r="AP49" s="138"/>
      <c r="AQ49" s="138"/>
      <c r="AR49" s="138"/>
      <c r="AS49" s="138"/>
      <c r="AT49" s="138"/>
      <c r="AU49" s="138"/>
      <c r="AV49" s="138"/>
      <c r="AW49" s="138"/>
      <c r="AX49" s="138"/>
      <c r="AY49" s="138"/>
      <c r="AZ49" s="138"/>
      <c r="BA49" s="138"/>
      <c r="BB49" s="138"/>
      <c r="BC49" s="138"/>
      <c r="BD49" s="138"/>
    </row>
    <row r="50" spans="1:56" ht="151.5" customHeight="1" x14ac:dyDescent="0.3">
      <c r="A50" s="947"/>
      <c r="B50" s="947"/>
      <c r="C50" s="947"/>
      <c r="D50" s="947"/>
      <c r="E50" s="947"/>
      <c r="F50" s="947"/>
      <c r="G50" s="947"/>
      <c r="H50" s="947"/>
      <c r="I50" s="947"/>
      <c r="J50" s="947"/>
      <c r="K50" s="947"/>
      <c r="L50" s="947"/>
      <c r="M50" s="947"/>
      <c r="N50" s="947"/>
      <c r="O50" s="3">
        <v>5</v>
      </c>
      <c r="P50" s="11"/>
      <c r="Q50" s="3" t="str">
        <f t="shared" si="0"/>
        <v/>
      </c>
      <c r="R50" s="9"/>
      <c r="S50" s="9"/>
      <c r="T50" s="4" t="str">
        <f t="shared" si="1"/>
        <v/>
      </c>
      <c r="U50" s="9"/>
      <c r="V50" s="9"/>
      <c r="W50" s="9"/>
      <c r="X50" s="5" t="str">
        <f>IFERROR(IF(AND(Q49="Probabilidad",Q50="Probabilidad"),(Z49-(+Z49*T50)),IF(AND(Q49="Impacto",Q50="Probabilidad"),(Z48-(+Z48*T50)),IF(Q50="Impacto",Z49,""))),"")</f>
        <v/>
      </c>
      <c r="Y50" s="6" t="str">
        <f t="shared" si="2"/>
        <v/>
      </c>
      <c r="Z50" s="7" t="str">
        <f t="shared" si="3"/>
        <v/>
      </c>
      <c r="AA50" s="6" t="str">
        <f t="shared" si="4"/>
        <v/>
      </c>
      <c r="AB50" s="7" t="str">
        <f>IFERROR(IF(AND(Q49="Impacto",Q50="Impacto"),(AB49-(+AB49*T50)),IF(AND(Q49="Probabilidad",Q50="Impacto"),(AB48-(+AB48*T50)),IF(Q50="Probabilidad",AB49,""))),"")</f>
        <v/>
      </c>
      <c r="AC50" s="8" t="str">
        <f t="shared" si="5"/>
        <v/>
      </c>
      <c r="AD50" s="10"/>
      <c r="AE50" s="18"/>
      <c r="AF50" s="3"/>
      <c r="AG50" s="17"/>
      <c r="AH50" s="17"/>
      <c r="AI50" s="18"/>
      <c r="AJ50" s="3"/>
      <c r="AK50" s="138"/>
      <c r="AL50" s="138"/>
      <c r="AM50" s="138"/>
      <c r="AN50" s="138"/>
      <c r="AO50" s="138"/>
      <c r="AP50" s="138"/>
      <c r="AQ50" s="138"/>
      <c r="AR50" s="138"/>
      <c r="AS50" s="138"/>
      <c r="AT50" s="138"/>
      <c r="AU50" s="138"/>
      <c r="AV50" s="138"/>
      <c r="AW50" s="138"/>
      <c r="AX50" s="138"/>
      <c r="AY50" s="138"/>
      <c r="AZ50" s="138"/>
      <c r="BA50" s="138"/>
      <c r="BB50" s="138"/>
      <c r="BC50" s="138"/>
      <c r="BD50" s="138"/>
    </row>
    <row r="51" spans="1:56" ht="151.5" customHeight="1" x14ac:dyDescent="0.3">
      <c r="A51" s="948"/>
      <c r="B51" s="948"/>
      <c r="C51" s="948"/>
      <c r="D51" s="948"/>
      <c r="E51" s="948"/>
      <c r="F51" s="948"/>
      <c r="G51" s="948"/>
      <c r="H51" s="948"/>
      <c r="I51" s="948"/>
      <c r="J51" s="948"/>
      <c r="K51" s="948"/>
      <c r="L51" s="948"/>
      <c r="M51" s="948"/>
      <c r="N51" s="948"/>
      <c r="O51" s="3">
        <v>6</v>
      </c>
      <c r="P51" s="11"/>
      <c r="Q51" s="3" t="str">
        <f t="shared" si="0"/>
        <v/>
      </c>
      <c r="R51" s="9"/>
      <c r="S51" s="9"/>
      <c r="T51" s="4" t="str">
        <f t="shared" si="1"/>
        <v/>
      </c>
      <c r="U51" s="9"/>
      <c r="V51" s="9"/>
      <c r="W51" s="9"/>
      <c r="X51" s="5" t="str">
        <f>IFERROR(IF(AND(Q50="Probabilidad",Q51="Probabilidad"),(Z50-(+Z50*T51)),IF(AND(Q50="Impacto",Q51="Probabilidad"),(Z49-(+Z49*T51)),IF(Q51="Impacto",Z50,""))),"")</f>
        <v/>
      </c>
      <c r="Y51" s="6" t="str">
        <f t="shared" si="2"/>
        <v/>
      </c>
      <c r="Z51" s="7" t="str">
        <f t="shared" si="3"/>
        <v/>
      </c>
      <c r="AA51" s="6" t="str">
        <f t="shared" si="4"/>
        <v/>
      </c>
      <c r="AB51" s="7" t="str">
        <f>IFERROR(IF(AND(Q50="Impacto",Q51="Impacto"),(AB50-(+AB50*T51)),IF(AND(Q50="Probabilidad",Q51="Impacto"),(AB49-(+AB49*T51)),IF(Q51="Probabilidad",AB50,""))),"")</f>
        <v/>
      </c>
      <c r="AC51" s="8" t="str">
        <f t="shared" si="5"/>
        <v/>
      </c>
      <c r="AD51" s="10"/>
      <c r="AE51" s="18"/>
      <c r="AF51" s="3"/>
      <c r="AG51" s="17"/>
      <c r="AH51" s="17"/>
      <c r="AI51" s="18"/>
      <c r="AJ51" s="3"/>
      <c r="AK51" s="138"/>
      <c r="AL51" s="138"/>
      <c r="AM51" s="138"/>
      <c r="AN51" s="138"/>
      <c r="AO51" s="138"/>
      <c r="AP51" s="138"/>
      <c r="AQ51" s="138"/>
      <c r="AR51" s="138"/>
      <c r="AS51" s="138"/>
      <c r="AT51" s="138"/>
      <c r="AU51" s="138"/>
      <c r="AV51" s="138"/>
      <c r="AW51" s="138"/>
      <c r="AX51" s="138"/>
      <c r="AY51" s="138"/>
      <c r="AZ51" s="138"/>
      <c r="BA51" s="138"/>
      <c r="BB51" s="138"/>
      <c r="BC51" s="138"/>
      <c r="BD51" s="138"/>
    </row>
    <row r="52" spans="1:56" ht="151.5" customHeight="1" x14ac:dyDescent="0.3">
      <c r="A52" s="951">
        <v>8</v>
      </c>
      <c r="B52" s="952"/>
      <c r="C52" s="952"/>
      <c r="D52" s="952"/>
      <c r="E52" s="952"/>
      <c r="F52" s="952"/>
      <c r="G52" s="951"/>
      <c r="H52" s="949" t="str">
        <f>IF(G52&lt;=0,"",IF(G52&lt;=2,"Muy Baja",IF(G52&lt;=24,"Baja",IF(G52&lt;=500,"Media",IF(G52&lt;=5000,"Alta","Muy Alta")))))</f>
        <v/>
      </c>
      <c r="I52" s="946" t="str">
        <f>IF(H52="","",IF(H52="Muy Baja",0.2,IF(H52="Baja",0.4,IF(H52="Media",0.6,IF(H52="Alta",0.8,IF(H52="Muy Alta",1,))))))</f>
        <v/>
      </c>
      <c r="J52" s="946"/>
      <c r="K52" s="946" t="str">
        <f>IF(NOT(ISERROR(MATCH(J52,'Tabla Impacto'!$B$222:$B$224,0))),'Tabla Impacto'!$F$224&amp;"Por favor no seleccionar los criterios de impacto(Afectación Económica o presupuestal y Pérdida Reputacional)",J52)</f>
        <v>❌Por favor no seleccionar los criterios de impacto(Afectación Económica o presupuestal y Pérdida Reputacional)</v>
      </c>
      <c r="L52" s="949" t="str">
        <f>IF(OR(K52='Tabla Impacto'!$C$12,K52='Tabla Impacto'!$D$12),"Leve",IF(OR(K52='Tabla Impacto'!$C$13,K52='Tabla Impacto'!$D$13),"Menor",IF(OR(K52='Tabla Impacto'!$C$14,K52='Tabla Impacto'!$D$14),"Moderado",IF(OR(K52='Tabla Impacto'!$C$15,K52='Tabla Impacto'!$D$15),"Mayor",IF(OR(K52='Tabla Impacto'!$C$16,K52='Tabla Impacto'!$D$16),"Catastrófico","")))))</f>
        <v/>
      </c>
      <c r="M52" s="946" t="str">
        <f>IF(L52="","",IF(L52="Leve",0.2,IF(L52="Menor",0.4,IF(L52="Moderado",0.6,IF(L52="Mayor",0.8,IF(L52="Catastrófico",1,))))))</f>
        <v/>
      </c>
      <c r="N52" s="950"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
        <v>1</v>
      </c>
      <c r="P52" s="11"/>
      <c r="Q52" s="3" t="str">
        <f t="shared" si="0"/>
        <v/>
      </c>
      <c r="R52" s="9"/>
      <c r="S52" s="9"/>
      <c r="T52" s="4" t="str">
        <f t="shared" si="1"/>
        <v/>
      </c>
      <c r="U52" s="9"/>
      <c r="V52" s="9"/>
      <c r="W52" s="9"/>
      <c r="X52" s="5" t="str">
        <f>IFERROR(IF(Q52="Probabilidad",(I52-(+I52*T52)),IF(Q52="Impacto",I52,"")),"")</f>
        <v/>
      </c>
      <c r="Y52" s="6" t="str">
        <f t="shared" si="2"/>
        <v/>
      </c>
      <c r="Z52" s="7" t="str">
        <f t="shared" si="3"/>
        <v/>
      </c>
      <c r="AA52" s="6" t="str">
        <f t="shared" si="4"/>
        <v/>
      </c>
      <c r="AB52" s="7" t="str">
        <f>IFERROR(IF(Q52="Impacto",(M52-(+M52*T52)),IF(Q52="Probabilidad",M52,"")),"")</f>
        <v/>
      </c>
      <c r="AC52" s="8" t="str">
        <f t="shared" si="5"/>
        <v/>
      </c>
      <c r="AD52" s="10"/>
      <c r="AE52" s="18"/>
      <c r="AF52" s="3"/>
      <c r="AG52" s="17"/>
      <c r="AH52" s="17"/>
      <c r="AI52" s="18"/>
      <c r="AJ52" s="3"/>
      <c r="AK52" s="138"/>
      <c r="AL52" s="138"/>
      <c r="AM52" s="138"/>
      <c r="AN52" s="138"/>
      <c r="AO52" s="138"/>
      <c r="AP52" s="138"/>
      <c r="AQ52" s="138"/>
      <c r="AR52" s="138"/>
      <c r="AS52" s="138"/>
      <c r="AT52" s="138"/>
      <c r="AU52" s="138"/>
      <c r="AV52" s="138"/>
      <c r="AW52" s="138"/>
      <c r="AX52" s="138"/>
      <c r="AY52" s="138"/>
      <c r="AZ52" s="138"/>
      <c r="BA52" s="138"/>
      <c r="BB52" s="138"/>
      <c r="BC52" s="138"/>
      <c r="BD52" s="138"/>
    </row>
    <row r="53" spans="1:56" ht="151.5" customHeight="1" x14ac:dyDescent="0.3">
      <c r="A53" s="947"/>
      <c r="B53" s="947"/>
      <c r="C53" s="947"/>
      <c r="D53" s="947"/>
      <c r="E53" s="947"/>
      <c r="F53" s="947"/>
      <c r="G53" s="947"/>
      <c r="H53" s="947"/>
      <c r="I53" s="947"/>
      <c r="J53" s="947"/>
      <c r="K53" s="947"/>
      <c r="L53" s="947"/>
      <c r="M53" s="947"/>
      <c r="N53" s="947"/>
      <c r="O53" s="3">
        <v>2</v>
      </c>
      <c r="P53" s="11"/>
      <c r="Q53" s="3" t="str">
        <f t="shared" si="0"/>
        <v/>
      </c>
      <c r="R53" s="9"/>
      <c r="S53" s="9"/>
      <c r="T53" s="4" t="str">
        <f t="shared" si="1"/>
        <v/>
      </c>
      <c r="U53" s="9"/>
      <c r="V53" s="9"/>
      <c r="W53" s="9"/>
      <c r="X53" s="5" t="str">
        <f>IFERROR(IF(AND(Q52="Probabilidad",Q53="Probabilidad"),(Z52-(+Z52*T53)),IF(Q53="Probabilidad",(I52-(+I52*T53)),IF(Q53="Impacto",Z52,""))),"")</f>
        <v/>
      </c>
      <c r="Y53" s="6" t="str">
        <f t="shared" si="2"/>
        <v/>
      </c>
      <c r="Z53" s="7" t="str">
        <f t="shared" si="3"/>
        <v/>
      </c>
      <c r="AA53" s="6" t="str">
        <f t="shared" si="4"/>
        <v/>
      </c>
      <c r="AB53" s="7" t="str">
        <f>IFERROR(IF(AND(Q52="Impacto",Q53="Impacto"),(AB46-(+AB46*T53)),IF(Q53="Impacto",($M$52-(+$M$52*T53)),IF(Q53="Probabilidad",AB46,""))),"")</f>
        <v/>
      </c>
      <c r="AC53" s="8" t="str">
        <f t="shared" si="5"/>
        <v/>
      </c>
      <c r="AD53" s="10"/>
      <c r="AE53" s="18"/>
      <c r="AF53" s="3"/>
      <c r="AG53" s="17"/>
      <c r="AH53" s="17"/>
      <c r="AI53" s="18"/>
      <c r="AJ53" s="3"/>
      <c r="AK53" s="138"/>
      <c r="AL53" s="138"/>
      <c r="AM53" s="138"/>
      <c r="AN53" s="138"/>
      <c r="AO53" s="138"/>
      <c r="AP53" s="138"/>
      <c r="AQ53" s="138"/>
      <c r="AR53" s="138"/>
      <c r="AS53" s="138"/>
      <c r="AT53" s="138"/>
      <c r="AU53" s="138"/>
      <c r="AV53" s="138"/>
      <c r="AW53" s="138"/>
      <c r="AX53" s="138"/>
      <c r="AY53" s="138"/>
      <c r="AZ53" s="138"/>
      <c r="BA53" s="138"/>
      <c r="BB53" s="138"/>
      <c r="BC53" s="138"/>
      <c r="BD53" s="138"/>
    </row>
    <row r="54" spans="1:56" ht="151.5" customHeight="1" x14ac:dyDescent="0.3">
      <c r="A54" s="947"/>
      <c r="B54" s="947"/>
      <c r="C54" s="947"/>
      <c r="D54" s="947"/>
      <c r="E54" s="947"/>
      <c r="F54" s="947"/>
      <c r="G54" s="947"/>
      <c r="H54" s="947"/>
      <c r="I54" s="947"/>
      <c r="J54" s="947"/>
      <c r="K54" s="947"/>
      <c r="L54" s="947"/>
      <c r="M54" s="947"/>
      <c r="N54" s="947"/>
      <c r="O54" s="3">
        <v>3</v>
      </c>
      <c r="P54" s="12"/>
      <c r="Q54" s="3" t="str">
        <f t="shared" si="0"/>
        <v/>
      </c>
      <c r="R54" s="9"/>
      <c r="S54" s="9"/>
      <c r="T54" s="4" t="str">
        <f t="shared" si="1"/>
        <v/>
      </c>
      <c r="U54" s="9"/>
      <c r="V54" s="9"/>
      <c r="W54" s="9"/>
      <c r="X54" s="5" t="str">
        <f>IFERROR(IF(AND(Q53="Probabilidad",Q54="Probabilidad"),(Z53-(+Z53*T54)),IF(AND(Q53="Impacto",Q54="Probabilidad"),(Z52-(+Z52*T54)),IF(Q54="Impacto",Z53,""))),"")</f>
        <v/>
      </c>
      <c r="Y54" s="6" t="str">
        <f t="shared" si="2"/>
        <v/>
      </c>
      <c r="Z54" s="7" t="str">
        <f t="shared" si="3"/>
        <v/>
      </c>
      <c r="AA54" s="6" t="str">
        <f t="shared" si="4"/>
        <v/>
      </c>
      <c r="AB54" s="7" t="str">
        <f>IFERROR(IF(AND(Q53="Impacto",Q54="Impacto"),(AB53-(+AB53*T54)),IF(AND(Q53="Probabilidad",Q54="Impacto"),(AB52-(+AB52*T54)),IF(Q54="Probabilidad",AB53,""))),"")</f>
        <v/>
      </c>
      <c r="AC54" s="8" t="str">
        <f t="shared" si="5"/>
        <v/>
      </c>
      <c r="AD54" s="10"/>
      <c r="AE54" s="18"/>
      <c r="AF54" s="3"/>
      <c r="AG54" s="17"/>
      <c r="AH54" s="17"/>
      <c r="AI54" s="18"/>
      <c r="AJ54" s="3"/>
      <c r="AK54" s="138"/>
      <c r="AL54" s="138"/>
      <c r="AM54" s="138"/>
      <c r="AN54" s="138"/>
      <c r="AO54" s="138"/>
      <c r="AP54" s="138"/>
      <c r="AQ54" s="138"/>
      <c r="AR54" s="138"/>
      <c r="AS54" s="138"/>
      <c r="AT54" s="138"/>
      <c r="AU54" s="138"/>
      <c r="AV54" s="138"/>
      <c r="AW54" s="138"/>
      <c r="AX54" s="138"/>
      <c r="AY54" s="138"/>
      <c r="AZ54" s="138"/>
      <c r="BA54" s="138"/>
      <c r="BB54" s="138"/>
      <c r="BC54" s="138"/>
      <c r="BD54" s="138"/>
    </row>
    <row r="55" spans="1:56" ht="151.5" customHeight="1" x14ac:dyDescent="0.3">
      <c r="A55" s="947"/>
      <c r="B55" s="947"/>
      <c r="C55" s="947"/>
      <c r="D55" s="947"/>
      <c r="E55" s="947"/>
      <c r="F55" s="947"/>
      <c r="G55" s="947"/>
      <c r="H55" s="947"/>
      <c r="I55" s="947"/>
      <c r="J55" s="947"/>
      <c r="K55" s="947"/>
      <c r="L55" s="947"/>
      <c r="M55" s="947"/>
      <c r="N55" s="947"/>
      <c r="O55" s="3">
        <v>4</v>
      </c>
      <c r="P55" s="11"/>
      <c r="Q55" s="3" t="str">
        <f t="shared" si="0"/>
        <v/>
      </c>
      <c r="R55" s="9"/>
      <c r="S55" s="9"/>
      <c r="T55" s="4" t="str">
        <f t="shared" si="1"/>
        <v/>
      </c>
      <c r="U55" s="9"/>
      <c r="V55" s="9"/>
      <c r="W55" s="9"/>
      <c r="X55" s="5" t="str">
        <f>IFERROR(IF(AND(Q54="Probabilidad",Q55="Probabilidad"),(Z54-(+Z54*T55)),IF(AND(Q54="Impacto",Q55="Probabilidad"),(Z53-(+Z53*T55)),IF(Q55="Impacto",Z54,""))),"")</f>
        <v/>
      </c>
      <c r="Y55" s="6" t="str">
        <f t="shared" si="2"/>
        <v/>
      </c>
      <c r="Z55" s="7" t="str">
        <f t="shared" si="3"/>
        <v/>
      </c>
      <c r="AA55" s="6" t="str">
        <f t="shared" si="4"/>
        <v/>
      </c>
      <c r="AB55" s="7" t="str">
        <f>IFERROR(IF(AND(Q54="Impacto",Q55="Impacto"),(AB54-(+AB54*T55)),IF(AND(Q54="Probabilidad",Q55="Impacto"),(AB53-(+AB53*T55)),IF(Q55="Probabilidad",AB54,""))),"")</f>
        <v/>
      </c>
      <c r="AC55" s="8" t="str">
        <f t="shared" si="5"/>
        <v/>
      </c>
      <c r="AD55" s="10"/>
      <c r="AE55" s="18"/>
      <c r="AF55" s="3"/>
      <c r="AG55" s="17"/>
      <c r="AH55" s="17"/>
      <c r="AI55" s="18"/>
      <c r="AJ55" s="3"/>
      <c r="AK55" s="138"/>
      <c r="AL55" s="138"/>
      <c r="AM55" s="138"/>
      <c r="AN55" s="138"/>
      <c r="AO55" s="138"/>
      <c r="AP55" s="138"/>
      <c r="AQ55" s="138"/>
      <c r="AR55" s="138"/>
      <c r="AS55" s="138"/>
      <c r="AT55" s="138"/>
      <c r="AU55" s="138"/>
      <c r="AV55" s="138"/>
      <c r="AW55" s="138"/>
      <c r="AX55" s="138"/>
      <c r="AY55" s="138"/>
      <c r="AZ55" s="138"/>
      <c r="BA55" s="138"/>
      <c r="BB55" s="138"/>
      <c r="BC55" s="138"/>
      <c r="BD55" s="138"/>
    </row>
    <row r="56" spans="1:56" ht="151.5" customHeight="1" x14ac:dyDescent="0.3">
      <c r="A56" s="947"/>
      <c r="B56" s="947"/>
      <c r="C56" s="947"/>
      <c r="D56" s="947"/>
      <c r="E56" s="947"/>
      <c r="F56" s="947"/>
      <c r="G56" s="947"/>
      <c r="H56" s="947"/>
      <c r="I56" s="947"/>
      <c r="J56" s="947"/>
      <c r="K56" s="947"/>
      <c r="L56" s="947"/>
      <c r="M56" s="947"/>
      <c r="N56" s="947"/>
      <c r="O56" s="3">
        <v>5</v>
      </c>
      <c r="P56" s="11"/>
      <c r="Q56" s="3" t="str">
        <f t="shared" si="0"/>
        <v/>
      </c>
      <c r="R56" s="9"/>
      <c r="S56" s="9"/>
      <c r="T56" s="4" t="str">
        <f t="shared" si="1"/>
        <v/>
      </c>
      <c r="U56" s="9"/>
      <c r="V56" s="9"/>
      <c r="W56" s="9"/>
      <c r="X56" s="5" t="str">
        <f>IFERROR(IF(AND(Q55="Probabilidad",Q56="Probabilidad"),(Z55-(+Z55*T56)),IF(AND(Q55="Impacto",Q56="Probabilidad"),(Z54-(+Z54*T56)),IF(Q56="Impacto",Z55,""))),"")</f>
        <v/>
      </c>
      <c r="Y56" s="6" t="str">
        <f t="shared" si="2"/>
        <v/>
      </c>
      <c r="Z56" s="7" t="str">
        <f t="shared" si="3"/>
        <v/>
      </c>
      <c r="AA56" s="6" t="str">
        <f t="shared" si="4"/>
        <v/>
      </c>
      <c r="AB56" s="7" t="str">
        <f>IFERROR(IF(AND(Q55="Impacto",Q56="Impacto"),(AB55-(+AB55*T56)),IF(AND(Q55="Probabilidad",Q56="Impacto"),(AB54-(+AB54*T56)),IF(Q56="Probabilidad",AB55,""))),"")</f>
        <v/>
      </c>
      <c r="AC56" s="8" t="str">
        <f t="shared" si="5"/>
        <v/>
      </c>
      <c r="AD56" s="10"/>
      <c r="AE56" s="18"/>
      <c r="AF56" s="3"/>
      <c r="AG56" s="17"/>
      <c r="AH56" s="17"/>
      <c r="AI56" s="18"/>
      <c r="AJ56" s="3"/>
      <c r="AK56" s="138"/>
      <c r="AL56" s="138"/>
      <c r="AM56" s="138"/>
      <c r="AN56" s="138"/>
      <c r="AO56" s="138"/>
      <c r="AP56" s="138"/>
      <c r="AQ56" s="138"/>
      <c r="AR56" s="138"/>
      <c r="AS56" s="138"/>
      <c r="AT56" s="138"/>
      <c r="AU56" s="138"/>
      <c r="AV56" s="138"/>
      <c r="AW56" s="138"/>
      <c r="AX56" s="138"/>
      <c r="AY56" s="138"/>
      <c r="AZ56" s="138"/>
      <c r="BA56" s="138"/>
      <c r="BB56" s="138"/>
      <c r="BC56" s="138"/>
      <c r="BD56" s="138"/>
    </row>
    <row r="57" spans="1:56" ht="151.5" customHeight="1" x14ac:dyDescent="0.3">
      <c r="A57" s="948"/>
      <c r="B57" s="948"/>
      <c r="C57" s="948"/>
      <c r="D57" s="948"/>
      <c r="E57" s="948"/>
      <c r="F57" s="948"/>
      <c r="G57" s="948"/>
      <c r="H57" s="948"/>
      <c r="I57" s="948"/>
      <c r="J57" s="948"/>
      <c r="K57" s="948"/>
      <c r="L57" s="948"/>
      <c r="M57" s="948"/>
      <c r="N57" s="948"/>
      <c r="O57" s="3">
        <v>6</v>
      </c>
      <c r="P57" s="11"/>
      <c r="Q57" s="3" t="str">
        <f t="shared" si="0"/>
        <v/>
      </c>
      <c r="R57" s="9"/>
      <c r="S57" s="9"/>
      <c r="T57" s="4" t="str">
        <f t="shared" si="1"/>
        <v/>
      </c>
      <c r="U57" s="9"/>
      <c r="V57" s="9"/>
      <c r="W57" s="9"/>
      <c r="X57" s="5" t="str">
        <f>IFERROR(IF(AND(Q56="Probabilidad",Q57="Probabilidad"),(Z56-(+Z56*T57)),IF(AND(Q56="Impacto",Q57="Probabilidad"),(Z55-(+Z55*T57)),IF(Q57="Impacto",Z56,""))),"")</f>
        <v/>
      </c>
      <c r="Y57" s="6" t="str">
        <f t="shared" si="2"/>
        <v/>
      </c>
      <c r="Z57" s="7" t="str">
        <f t="shared" si="3"/>
        <v/>
      </c>
      <c r="AA57" s="6" t="str">
        <f t="shared" si="4"/>
        <v/>
      </c>
      <c r="AB57" s="7" t="str">
        <f>IFERROR(IF(AND(Q56="Impacto",Q57="Impacto"),(AB56-(+AB56*T57)),IF(AND(Q56="Probabilidad",Q57="Impacto"),(AB55-(+AB55*T57)),IF(Q57="Probabilidad",AB56,""))),"")</f>
        <v/>
      </c>
      <c r="AC57" s="8" t="str">
        <f t="shared" si="5"/>
        <v/>
      </c>
      <c r="AD57" s="10"/>
      <c r="AE57" s="18"/>
      <c r="AF57" s="3"/>
      <c r="AG57" s="17"/>
      <c r="AH57" s="17"/>
      <c r="AI57" s="18"/>
      <c r="AJ57" s="3"/>
      <c r="AK57" s="138"/>
      <c r="AL57" s="138"/>
      <c r="AM57" s="138"/>
      <c r="AN57" s="138"/>
      <c r="AO57" s="138"/>
      <c r="AP57" s="138"/>
      <c r="AQ57" s="138"/>
      <c r="AR57" s="138"/>
      <c r="AS57" s="138"/>
      <c r="AT57" s="138"/>
      <c r="AU57" s="138"/>
      <c r="AV57" s="138"/>
      <c r="AW57" s="138"/>
      <c r="AX57" s="138"/>
      <c r="AY57" s="138"/>
      <c r="AZ57" s="138"/>
      <c r="BA57" s="138"/>
      <c r="BB57" s="138"/>
      <c r="BC57" s="138"/>
      <c r="BD57" s="138"/>
    </row>
    <row r="58" spans="1:56" ht="151.5" customHeight="1" x14ac:dyDescent="0.3">
      <c r="A58" s="951">
        <v>9</v>
      </c>
      <c r="B58" s="952"/>
      <c r="C58" s="952"/>
      <c r="D58" s="952"/>
      <c r="E58" s="952"/>
      <c r="F58" s="952"/>
      <c r="G58" s="951"/>
      <c r="H58" s="949" t="str">
        <f>IF(G58&lt;=0,"",IF(G58&lt;=2,"Muy Baja",IF(G58&lt;=24,"Baja",IF(G58&lt;=500,"Media",IF(G58&lt;=5000,"Alta","Muy Alta")))))</f>
        <v/>
      </c>
      <c r="I58" s="946" t="str">
        <f>IF(H58="","",IF(H58="Muy Baja",0.2,IF(H58="Baja",0.4,IF(H58="Media",0.6,IF(H58="Alta",0.8,IF(H58="Muy Alta",1,))))))</f>
        <v/>
      </c>
      <c r="J58" s="946"/>
      <c r="K58" s="946" t="str">
        <f>IF(NOT(ISERROR(MATCH(J58,'Tabla Impacto'!$B$222:$B$224,0))),'Tabla Impacto'!$F$224&amp;"Por favor no seleccionar los criterios de impacto(Afectación Económica o presupuestal y Pérdida Reputacional)",J58)</f>
        <v>❌Por favor no seleccionar los criterios de impacto(Afectación Económica o presupuestal y Pérdida Reputacional)</v>
      </c>
      <c r="L58" s="949" t="str">
        <f>IF(OR(K58='Tabla Impacto'!$C$12,K58='Tabla Impacto'!$D$12),"Leve",IF(OR(K58='Tabla Impacto'!$C$13,K58='Tabla Impacto'!$D$13),"Menor",IF(OR(K58='Tabla Impacto'!$C$14,K58='Tabla Impacto'!$D$14),"Moderado",IF(OR(K58='Tabla Impacto'!$C$15,K58='Tabla Impacto'!$D$15),"Mayor",IF(OR(K58='Tabla Impacto'!$C$16,K58='Tabla Impacto'!$D$16),"Catastrófico","")))))</f>
        <v/>
      </c>
      <c r="M58" s="946" t="str">
        <f>IF(L58="","",IF(L58="Leve",0.2,IF(L58="Menor",0.4,IF(L58="Moderado",0.6,IF(L58="Mayor",0.8,IF(L58="Catastrófico",1,))))))</f>
        <v/>
      </c>
      <c r="N58" s="950"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
        <v>1</v>
      </c>
      <c r="P58" s="11"/>
      <c r="Q58" s="3" t="str">
        <f t="shared" si="0"/>
        <v/>
      </c>
      <c r="R58" s="9"/>
      <c r="S58" s="9"/>
      <c r="T58" s="4" t="str">
        <f t="shared" si="1"/>
        <v/>
      </c>
      <c r="U58" s="9"/>
      <c r="V58" s="9"/>
      <c r="W58" s="9"/>
      <c r="X58" s="5" t="str">
        <f>IFERROR(IF(Q58="Probabilidad",(I58-(+I58*T58)),IF(Q58="Impacto",I58,"")),"")</f>
        <v/>
      </c>
      <c r="Y58" s="6" t="str">
        <f t="shared" si="2"/>
        <v/>
      </c>
      <c r="Z58" s="7" t="str">
        <f t="shared" si="3"/>
        <v/>
      </c>
      <c r="AA58" s="6" t="str">
        <f t="shared" si="4"/>
        <v/>
      </c>
      <c r="AB58" s="7" t="str">
        <f>IFERROR(IF(Q58="Impacto",(M58-(+M58*T58)),IF(Q58="Probabilidad",M58,"")),"")</f>
        <v/>
      </c>
      <c r="AC58" s="8" t="str">
        <f t="shared" si="5"/>
        <v/>
      </c>
      <c r="AD58" s="10"/>
      <c r="AE58" s="18"/>
      <c r="AF58" s="3"/>
      <c r="AG58" s="17"/>
      <c r="AH58" s="17"/>
      <c r="AI58" s="18"/>
      <c r="AJ58" s="3"/>
      <c r="AK58" s="138"/>
      <c r="AL58" s="138"/>
      <c r="AM58" s="138"/>
      <c r="AN58" s="138"/>
      <c r="AO58" s="138"/>
      <c r="AP58" s="138"/>
      <c r="AQ58" s="138"/>
      <c r="AR58" s="138"/>
      <c r="AS58" s="138"/>
      <c r="AT58" s="138"/>
      <c r="AU58" s="138"/>
      <c r="AV58" s="138"/>
      <c r="AW58" s="138"/>
      <c r="AX58" s="138"/>
      <c r="AY58" s="138"/>
      <c r="AZ58" s="138"/>
      <c r="BA58" s="138"/>
      <c r="BB58" s="138"/>
      <c r="BC58" s="138"/>
      <c r="BD58" s="138"/>
    </row>
    <row r="59" spans="1:56" ht="151.5" customHeight="1" x14ac:dyDescent="0.3">
      <c r="A59" s="947"/>
      <c r="B59" s="947"/>
      <c r="C59" s="947"/>
      <c r="D59" s="947"/>
      <c r="E59" s="947"/>
      <c r="F59" s="947"/>
      <c r="G59" s="947"/>
      <c r="H59" s="947"/>
      <c r="I59" s="947"/>
      <c r="J59" s="947"/>
      <c r="K59" s="947"/>
      <c r="L59" s="947"/>
      <c r="M59" s="947"/>
      <c r="N59" s="947"/>
      <c r="O59" s="3">
        <v>2</v>
      </c>
      <c r="P59" s="11"/>
      <c r="Q59" s="3" t="str">
        <f t="shared" si="0"/>
        <v/>
      </c>
      <c r="R59" s="9"/>
      <c r="S59" s="9"/>
      <c r="T59" s="4" t="str">
        <f t="shared" si="1"/>
        <v/>
      </c>
      <c r="U59" s="9"/>
      <c r="V59" s="9"/>
      <c r="W59" s="9"/>
      <c r="X59" s="5" t="str">
        <f>IFERROR(IF(AND(Q58="Probabilidad",Q59="Probabilidad"),(Z58-(+Z58*T59)),IF(Q59="Probabilidad",(I58-(+I58*T59)),IF(Q59="Impacto",Z58,""))),"")</f>
        <v/>
      </c>
      <c r="Y59" s="6" t="str">
        <f t="shared" si="2"/>
        <v/>
      </c>
      <c r="Z59" s="7" t="str">
        <f t="shared" si="3"/>
        <v/>
      </c>
      <c r="AA59" s="6" t="str">
        <f t="shared" si="4"/>
        <v/>
      </c>
      <c r="AB59" s="7" t="str">
        <f>IFERROR(IF(AND(Q58="Impacto",Q59="Impacto"),(AB52-(+AB52*T59)),IF(Q59="Impacto",($M$58-(+$M$58*T59)),IF(Q59="Probabilidad",AB52,""))),"")</f>
        <v/>
      </c>
      <c r="AC59" s="8" t="str">
        <f t="shared" si="5"/>
        <v/>
      </c>
      <c r="AD59" s="10"/>
      <c r="AE59" s="18"/>
      <c r="AF59" s="3"/>
      <c r="AG59" s="17"/>
      <c r="AH59" s="17"/>
      <c r="AI59" s="18"/>
      <c r="AJ59" s="3"/>
      <c r="AK59" s="138"/>
      <c r="AL59" s="138"/>
      <c r="AM59" s="138"/>
      <c r="AN59" s="138"/>
      <c r="AO59" s="138"/>
      <c r="AP59" s="138"/>
      <c r="AQ59" s="138"/>
      <c r="AR59" s="138"/>
      <c r="AS59" s="138"/>
      <c r="AT59" s="138"/>
      <c r="AU59" s="138"/>
      <c r="AV59" s="138"/>
      <c r="AW59" s="138"/>
      <c r="AX59" s="138"/>
      <c r="AY59" s="138"/>
      <c r="AZ59" s="138"/>
      <c r="BA59" s="138"/>
      <c r="BB59" s="138"/>
      <c r="BC59" s="138"/>
      <c r="BD59" s="138"/>
    </row>
    <row r="60" spans="1:56" ht="151.5" customHeight="1" x14ac:dyDescent="0.3">
      <c r="A60" s="947"/>
      <c r="B60" s="947"/>
      <c r="C60" s="947"/>
      <c r="D60" s="947"/>
      <c r="E60" s="947"/>
      <c r="F60" s="947"/>
      <c r="G60" s="947"/>
      <c r="H60" s="947"/>
      <c r="I60" s="947"/>
      <c r="J60" s="947"/>
      <c r="K60" s="947"/>
      <c r="L60" s="947"/>
      <c r="M60" s="947"/>
      <c r="N60" s="947"/>
      <c r="O60" s="3">
        <v>3</v>
      </c>
      <c r="P60" s="12"/>
      <c r="Q60" s="3" t="str">
        <f t="shared" si="0"/>
        <v/>
      </c>
      <c r="R60" s="9"/>
      <c r="S60" s="9"/>
      <c r="T60" s="4" t="str">
        <f t="shared" si="1"/>
        <v/>
      </c>
      <c r="U60" s="9"/>
      <c r="V60" s="9"/>
      <c r="W60" s="9"/>
      <c r="X60" s="5" t="str">
        <f>IFERROR(IF(AND(Q59="Probabilidad",Q60="Probabilidad"),(Z59-(+Z59*T60)),IF(AND(Q59="Impacto",Q60="Probabilidad"),(Z58-(+Z58*T60)),IF(Q60="Impacto",Z59,""))),"")</f>
        <v/>
      </c>
      <c r="Y60" s="6" t="str">
        <f t="shared" si="2"/>
        <v/>
      </c>
      <c r="Z60" s="7" t="str">
        <f t="shared" si="3"/>
        <v/>
      </c>
      <c r="AA60" s="6" t="str">
        <f t="shared" si="4"/>
        <v/>
      </c>
      <c r="AB60" s="7" t="str">
        <f>IFERROR(IF(AND(Q59="Impacto",Q60="Impacto"),(AB59-(+AB59*T60)),IF(AND(Q59="Probabilidad",Q60="Impacto"),(AB58-(+AB58*T60)),IF(Q60="Probabilidad",AB59,""))),"")</f>
        <v/>
      </c>
      <c r="AC60" s="8" t="str">
        <f t="shared" si="5"/>
        <v/>
      </c>
      <c r="AD60" s="10"/>
      <c r="AE60" s="18"/>
      <c r="AF60" s="3"/>
      <c r="AG60" s="17"/>
      <c r="AH60" s="17"/>
      <c r="AI60" s="18"/>
      <c r="AJ60" s="3"/>
      <c r="AK60" s="138"/>
      <c r="AL60" s="138"/>
      <c r="AM60" s="138"/>
      <c r="AN60" s="138"/>
      <c r="AO60" s="138"/>
      <c r="AP60" s="138"/>
      <c r="AQ60" s="138"/>
      <c r="AR60" s="138"/>
      <c r="AS60" s="138"/>
      <c r="AT60" s="138"/>
      <c r="AU60" s="138"/>
      <c r="AV60" s="138"/>
      <c r="AW60" s="138"/>
      <c r="AX60" s="138"/>
      <c r="AY60" s="138"/>
      <c r="AZ60" s="138"/>
      <c r="BA60" s="138"/>
      <c r="BB60" s="138"/>
      <c r="BC60" s="138"/>
      <c r="BD60" s="138"/>
    </row>
    <row r="61" spans="1:56" ht="151.5" customHeight="1" x14ac:dyDescent="0.3">
      <c r="A61" s="947"/>
      <c r="B61" s="947"/>
      <c r="C61" s="947"/>
      <c r="D61" s="947"/>
      <c r="E61" s="947"/>
      <c r="F61" s="947"/>
      <c r="G61" s="947"/>
      <c r="H61" s="947"/>
      <c r="I61" s="947"/>
      <c r="J61" s="947"/>
      <c r="K61" s="947"/>
      <c r="L61" s="947"/>
      <c r="M61" s="947"/>
      <c r="N61" s="947"/>
      <c r="O61" s="3">
        <v>4</v>
      </c>
      <c r="P61" s="11"/>
      <c r="Q61" s="3" t="str">
        <f t="shared" si="0"/>
        <v/>
      </c>
      <c r="R61" s="9"/>
      <c r="S61" s="9"/>
      <c r="T61" s="4" t="str">
        <f t="shared" si="1"/>
        <v/>
      </c>
      <c r="U61" s="9"/>
      <c r="V61" s="9"/>
      <c r="W61" s="9"/>
      <c r="X61" s="5" t="str">
        <f>IFERROR(IF(AND(Q60="Probabilidad",Q61="Probabilidad"),(Z60-(+Z60*T61)),IF(AND(Q60="Impacto",Q61="Probabilidad"),(Z59-(+Z59*T61)),IF(Q61="Impacto",Z60,""))),"")</f>
        <v/>
      </c>
      <c r="Y61" s="6" t="str">
        <f t="shared" si="2"/>
        <v/>
      </c>
      <c r="Z61" s="7" t="str">
        <f t="shared" si="3"/>
        <v/>
      </c>
      <c r="AA61" s="6" t="str">
        <f t="shared" si="4"/>
        <v/>
      </c>
      <c r="AB61" s="7" t="str">
        <f>IFERROR(IF(AND(Q60="Impacto",Q61="Impacto"),(AB60-(+AB60*T61)),IF(AND(Q60="Probabilidad",Q61="Impacto"),(AB59-(+AB59*T61)),IF(Q61="Probabilidad",AB60,""))),"")</f>
        <v/>
      </c>
      <c r="AC61" s="8" t="str">
        <f t="shared" si="5"/>
        <v/>
      </c>
      <c r="AD61" s="10"/>
      <c r="AE61" s="18"/>
      <c r="AF61" s="3"/>
      <c r="AG61" s="17"/>
      <c r="AH61" s="17"/>
      <c r="AI61" s="18"/>
      <c r="AJ61" s="3"/>
      <c r="AK61" s="138"/>
      <c r="AL61" s="138"/>
      <c r="AM61" s="138"/>
      <c r="AN61" s="138"/>
      <c r="AO61" s="138"/>
      <c r="AP61" s="138"/>
      <c r="AQ61" s="138"/>
      <c r="AR61" s="138"/>
      <c r="AS61" s="138"/>
      <c r="AT61" s="138"/>
      <c r="AU61" s="138"/>
      <c r="AV61" s="138"/>
      <c r="AW61" s="138"/>
      <c r="AX61" s="138"/>
      <c r="AY61" s="138"/>
      <c r="AZ61" s="138"/>
      <c r="BA61" s="138"/>
      <c r="BB61" s="138"/>
      <c r="BC61" s="138"/>
      <c r="BD61" s="138"/>
    </row>
    <row r="62" spans="1:56" ht="151.5" customHeight="1" x14ac:dyDescent="0.3">
      <c r="A62" s="947"/>
      <c r="B62" s="947"/>
      <c r="C62" s="947"/>
      <c r="D62" s="947"/>
      <c r="E62" s="947"/>
      <c r="F62" s="947"/>
      <c r="G62" s="947"/>
      <c r="H62" s="947"/>
      <c r="I62" s="947"/>
      <c r="J62" s="947"/>
      <c r="K62" s="947"/>
      <c r="L62" s="947"/>
      <c r="M62" s="947"/>
      <c r="N62" s="947"/>
      <c r="O62" s="3">
        <v>5</v>
      </c>
      <c r="P62" s="11"/>
      <c r="Q62" s="3" t="str">
        <f t="shared" si="0"/>
        <v/>
      </c>
      <c r="R62" s="9"/>
      <c r="S62" s="9"/>
      <c r="T62" s="4" t="str">
        <f t="shared" si="1"/>
        <v/>
      </c>
      <c r="U62" s="9"/>
      <c r="V62" s="9"/>
      <c r="W62" s="9"/>
      <c r="X62" s="5" t="str">
        <f>IFERROR(IF(AND(Q61="Probabilidad",Q62="Probabilidad"),(Z61-(+Z61*T62)),IF(AND(Q61="Impacto",Q62="Probabilidad"),(Z60-(+Z60*T62)),IF(Q62="Impacto",Z61,""))),"")</f>
        <v/>
      </c>
      <c r="Y62" s="6" t="str">
        <f t="shared" si="2"/>
        <v/>
      </c>
      <c r="Z62" s="7" t="str">
        <f t="shared" si="3"/>
        <v/>
      </c>
      <c r="AA62" s="6" t="str">
        <f t="shared" si="4"/>
        <v/>
      </c>
      <c r="AB62" s="7" t="str">
        <f>IFERROR(IF(AND(Q61="Impacto",Q62="Impacto"),(AB61-(+AB61*T62)),IF(AND(Q61="Probabilidad",Q62="Impacto"),(AB60-(+AB60*T62)),IF(Q62="Probabilidad",AB61,""))),"")</f>
        <v/>
      </c>
      <c r="AC62" s="8" t="str">
        <f t="shared" si="5"/>
        <v/>
      </c>
      <c r="AD62" s="10"/>
      <c r="AE62" s="18"/>
      <c r="AF62" s="3"/>
      <c r="AG62" s="17"/>
      <c r="AH62" s="17"/>
      <c r="AI62" s="18"/>
      <c r="AJ62" s="3"/>
      <c r="AK62" s="138"/>
      <c r="AL62" s="138"/>
      <c r="AM62" s="138"/>
      <c r="AN62" s="138"/>
      <c r="AO62" s="138"/>
      <c r="AP62" s="138"/>
      <c r="AQ62" s="138"/>
      <c r="AR62" s="138"/>
      <c r="AS62" s="138"/>
      <c r="AT62" s="138"/>
      <c r="AU62" s="138"/>
      <c r="AV62" s="138"/>
      <c r="AW62" s="138"/>
      <c r="AX62" s="138"/>
      <c r="AY62" s="138"/>
      <c r="AZ62" s="138"/>
      <c r="BA62" s="138"/>
      <c r="BB62" s="138"/>
      <c r="BC62" s="138"/>
      <c r="BD62" s="138"/>
    </row>
    <row r="63" spans="1:56" ht="151.5" customHeight="1" x14ac:dyDescent="0.3">
      <c r="A63" s="948"/>
      <c r="B63" s="948"/>
      <c r="C63" s="948"/>
      <c r="D63" s="948"/>
      <c r="E63" s="948"/>
      <c r="F63" s="948"/>
      <c r="G63" s="948"/>
      <c r="H63" s="948"/>
      <c r="I63" s="948"/>
      <c r="J63" s="948"/>
      <c r="K63" s="948"/>
      <c r="L63" s="948"/>
      <c r="M63" s="948"/>
      <c r="N63" s="948"/>
      <c r="O63" s="3">
        <v>6</v>
      </c>
      <c r="P63" s="11"/>
      <c r="Q63" s="3" t="str">
        <f t="shared" si="0"/>
        <v/>
      </c>
      <c r="R63" s="9"/>
      <c r="S63" s="9"/>
      <c r="T63" s="4" t="str">
        <f t="shared" si="1"/>
        <v/>
      </c>
      <c r="U63" s="9"/>
      <c r="V63" s="9"/>
      <c r="W63" s="9"/>
      <c r="X63" s="5" t="str">
        <f>IFERROR(IF(AND(Q62="Probabilidad",Q63="Probabilidad"),(Z62-(+Z62*T63)),IF(AND(Q62="Impacto",Q63="Probabilidad"),(Z61-(+Z61*T63)),IF(Q63="Impacto",Z62,""))),"")</f>
        <v/>
      </c>
      <c r="Y63" s="6" t="str">
        <f t="shared" si="2"/>
        <v/>
      </c>
      <c r="Z63" s="7" t="str">
        <f t="shared" si="3"/>
        <v/>
      </c>
      <c r="AA63" s="6" t="str">
        <f t="shared" si="4"/>
        <v/>
      </c>
      <c r="AB63" s="7" t="str">
        <f>IFERROR(IF(AND(Q62="Impacto",Q63="Impacto"),(AB62-(+AB62*T63)),IF(AND(Q62="Probabilidad",Q63="Impacto"),(AB61-(+AB61*T63)),IF(Q63="Probabilidad",AB62,""))),"")</f>
        <v/>
      </c>
      <c r="AC63" s="8" t="str">
        <f t="shared" si="5"/>
        <v/>
      </c>
      <c r="AD63" s="10"/>
      <c r="AE63" s="18"/>
      <c r="AF63" s="3"/>
      <c r="AG63" s="17"/>
      <c r="AH63" s="17"/>
      <c r="AI63" s="18"/>
      <c r="AJ63" s="3"/>
      <c r="AK63" s="138"/>
      <c r="AL63" s="138"/>
      <c r="AM63" s="138"/>
      <c r="AN63" s="138"/>
      <c r="AO63" s="138"/>
      <c r="AP63" s="138"/>
      <c r="AQ63" s="138"/>
      <c r="AR63" s="138"/>
      <c r="AS63" s="138"/>
      <c r="AT63" s="138"/>
      <c r="AU63" s="138"/>
      <c r="AV63" s="138"/>
      <c r="AW63" s="138"/>
      <c r="AX63" s="138"/>
      <c r="AY63" s="138"/>
      <c r="AZ63" s="138"/>
      <c r="BA63" s="138"/>
      <c r="BB63" s="138"/>
      <c r="BC63" s="138"/>
      <c r="BD63" s="138"/>
    </row>
    <row r="64" spans="1:56" ht="151.5" customHeight="1" x14ac:dyDescent="0.3">
      <c r="A64" s="951">
        <v>10</v>
      </c>
      <c r="B64" s="952"/>
      <c r="C64" s="952"/>
      <c r="D64" s="952"/>
      <c r="E64" s="952"/>
      <c r="F64" s="952"/>
      <c r="G64" s="951"/>
      <c r="H64" s="949" t="str">
        <f>IF(G64&lt;=0,"",IF(G64&lt;=2,"Muy Baja",IF(G64&lt;=24,"Baja",IF(G64&lt;=500,"Media",IF(G64&lt;=5000,"Alta","Muy Alta")))))</f>
        <v/>
      </c>
      <c r="I64" s="946" t="str">
        <f>IF(H64="","",IF(H64="Muy Baja",0.2,IF(H64="Baja",0.4,IF(H64="Media",0.6,IF(H64="Alta",0.8,IF(H64="Muy Alta",1,))))))</f>
        <v/>
      </c>
      <c r="J64" s="946"/>
      <c r="K64" s="946" t="str">
        <f>IF(NOT(ISERROR(MATCH(J64,'Tabla Impacto'!$B$222:$B$224,0))),'Tabla Impacto'!$F$224&amp;"Por favor no seleccionar los criterios de impacto(Afectación Económica o presupuestal y Pérdida Reputacional)",J64)</f>
        <v>❌Por favor no seleccionar los criterios de impacto(Afectación Económica o presupuestal y Pérdida Reputacional)</v>
      </c>
      <c r="L64" s="949" t="str">
        <f>IF(OR(K64='Tabla Impacto'!$C$12,K64='Tabla Impacto'!$D$12),"Leve",IF(OR(K64='Tabla Impacto'!$C$13,K64='Tabla Impacto'!$D$13),"Menor",IF(OR(K64='Tabla Impacto'!$C$14,K64='Tabla Impacto'!$D$14),"Moderado",IF(OR(K64='Tabla Impacto'!$C$15,K64='Tabla Impacto'!$D$15),"Mayor",IF(OR(K64='Tabla Impacto'!$C$16,K64='Tabla Impacto'!$D$16),"Catastrófico","")))))</f>
        <v/>
      </c>
      <c r="M64" s="946" t="str">
        <f>IF(L64="","",IF(L64="Leve",0.2,IF(L64="Menor",0.4,IF(L64="Moderado",0.6,IF(L64="Mayor",0.8,IF(L64="Catastrófico",1,))))))</f>
        <v/>
      </c>
      <c r="N64" s="950"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
        <v>1</v>
      </c>
      <c r="P64" s="11"/>
      <c r="Q64" s="3" t="str">
        <f t="shared" si="0"/>
        <v/>
      </c>
      <c r="R64" s="9"/>
      <c r="S64" s="9"/>
      <c r="T64" s="4" t="str">
        <f t="shared" si="1"/>
        <v/>
      </c>
      <c r="U64" s="9"/>
      <c r="V64" s="9"/>
      <c r="W64" s="9"/>
      <c r="X64" s="5" t="str">
        <f>IFERROR(IF(Q64="Probabilidad",(I64-(+I64*T64)),IF(Q64="Impacto",I64,"")),"")</f>
        <v/>
      </c>
      <c r="Y64" s="6" t="str">
        <f t="shared" si="2"/>
        <v/>
      </c>
      <c r="Z64" s="7" t="str">
        <f t="shared" si="3"/>
        <v/>
      </c>
      <c r="AA64" s="6" t="str">
        <f t="shared" si="4"/>
        <v/>
      </c>
      <c r="AB64" s="7" t="str">
        <f>IFERROR(IF(Q64="Impacto",(M64-(+M64*T64)),IF(Q64="Probabilidad",M64,"")),"")</f>
        <v/>
      </c>
      <c r="AC64" s="8" t="str">
        <f t="shared" si="5"/>
        <v/>
      </c>
      <c r="AD64" s="10"/>
      <c r="AE64" s="18"/>
      <c r="AF64" s="3"/>
      <c r="AG64" s="17"/>
      <c r="AH64" s="17"/>
      <c r="AI64" s="18"/>
      <c r="AJ64" s="3"/>
      <c r="AK64" s="138"/>
      <c r="AL64" s="138"/>
      <c r="AM64" s="138"/>
      <c r="AN64" s="138"/>
      <c r="AO64" s="138"/>
      <c r="AP64" s="138"/>
      <c r="AQ64" s="138"/>
      <c r="AR64" s="138"/>
      <c r="AS64" s="138"/>
      <c r="AT64" s="138"/>
      <c r="AU64" s="138"/>
      <c r="AV64" s="138"/>
      <c r="AW64" s="138"/>
      <c r="AX64" s="138"/>
      <c r="AY64" s="138"/>
      <c r="AZ64" s="138"/>
      <c r="BA64" s="138"/>
      <c r="BB64" s="138"/>
      <c r="BC64" s="138"/>
      <c r="BD64" s="138"/>
    </row>
    <row r="65" spans="1:56" ht="151.5" customHeight="1" x14ac:dyDescent="0.3">
      <c r="A65" s="947"/>
      <c r="B65" s="947"/>
      <c r="C65" s="947"/>
      <c r="D65" s="947"/>
      <c r="E65" s="947"/>
      <c r="F65" s="947"/>
      <c r="G65" s="947"/>
      <c r="H65" s="947"/>
      <c r="I65" s="947"/>
      <c r="J65" s="947"/>
      <c r="K65" s="947"/>
      <c r="L65" s="947"/>
      <c r="M65" s="947"/>
      <c r="N65" s="947"/>
      <c r="O65" s="3">
        <v>2</v>
      </c>
      <c r="P65" s="11"/>
      <c r="Q65" s="3" t="str">
        <f t="shared" si="0"/>
        <v/>
      </c>
      <c r="R65" s="9"/>
      <c r="S65" s="9"/>
      <c r="T65" s="4" t="str">
        <f t="shared" si="1"/>
        <v/>
      </c>
      <c r="U65" s="9"/>
      <c r="V65" s="9"/>
      <c r="W65" s="9"/>
      <c r="X65" s="5" t="str">
        <f>IFERROR(IF(AND(Q64="Probabilidad",Q65="Probabilidad"),(Z64-(+Z64*T65)),IF(Q65="Probabilidad",(I64-(+I64*T65)),IF(Q65="Impacto",Z64,""))),"")</f>
        <v/>
      </c>
      <c r="Y65" s="6" t="str">
        <f t="shared" si="2"/>
        <v/>
      </c>
      <c r="Z65" s="7" t="str">
        <f t="shared" si="3"/>
        <v/>
      </c>
      <c r="AA65" s="6" t="str">
        <f t="shared" si="4"/>
        <v/>
      </c>
      <c r="AB65" s="7" t="str">
        <f>IFERROR(IF(AND(Q64="Impacto",Q65="Impacto"),(AB58-(+AB58*T65)),IF(Q65="Impacto",($M$64-(+$M$64*T65)),IF(Q65="Probabilidad",AB58,""))),"")</f>
        <v/>
      </c>
      <c r="AC65" s="8" t="str">
        <f t="shared" si="5"/>
        <v/>
      </c>
      <c r="AD65" s="10"/>
      <c r="AE65" s="18"/>
      <c r="AF65" s="3"/>
      <c r="AG65" s="17"/>
      <c r="AH65" s="17"/>
      <c r="AI65" s="18"/>
      <c r="AJ65" s="3"/>
      <c r="AK65" s="1"/>
      <c r="AL65" s="1"/>
      <c r="AM65" s="1"/>
      <c r="AN65" s="1"/>
      <c r="AO65" s="1"/>
      <c r="AP65" s="1"/>
      <c r="AQ65" s="1"/>
      <c r="AR65" s="1"/>
      <c r="AS65" s="1"/>
      <c r="AT65" s="1"/>
      <c r="AU65" s="1"/>
      <c r="AV65" s="1"/>
      <c r="AW65" s="1"/>
      <c r="AX65" s="1"/>
      <c r="AY65" s="1"/>
      <c r="AZ65" s="1"/>
      <c r="BA65" s="1"/>
      <c r="BB65" s="1"/>
      <c r="BC65" s="1"/>
      <c r="BD65" s="1"/>
    </row>
    <row r="66" spans="1:56" ht="151.5" customHeight="1" x14ac:dyDescent="0.3">
      <c r="A66" s="947"/>
      <c r="B66" s="947"/>
      <c r="C66" s="947"/>
      <c r="D66" s="947"/>
      <c r="E66" s="947"/>
      <c r="F66" s="947"/>
      <c r="G66" s="947"/>
      <c r="H66" s="947"/>
      <c r="I66" s="947"/>
      <c r="J66" s="947"/>
      <c r="K66" s="947"/>
      <c r="L66" s="947"/>
      <c r="M66" s="947"/>
      <c r="N66" s="947"/>
      <c r="O66" s="3">
        <v>3</v>
      </c>
      <c r="P66" s="12"/>
      <c r="Q66" s="3" t="str">
        <f t="shared" si="0"/>
        <v/>
      </c>
      <c r="R66" s="9"/>
      <c r="S66" s="9"/>
      <c r="T66" s="4" t="str">
        <f t="shared" si="1"/>
        <v/>
      </c>
      <c r="U66" s="9"/>
      <c r="V66" s="9"/>
      <c r="W66" s="9"/>
      <c r="X66" s="5" t="str">
        <f>IFERROR(IF(AND(Q65="Probabilidad",Q66="Probabilidad"),(Z65-(+Z65*T66)),IF(AND(Q65="Impacto",Q66="Probabilidad"),(Z64-(+Z64*T66)),IF(Q66="Impacto",Z65,""))),"")</f>
        <v/>
      </c>
      <c r="Y66" s="6" t="str">
        <f t="shared" si="2"/>
        <v/>
      </c>
      <c r="Z66" s="7" t="str">
        <f t="shared" si="3"/>
        <v/>
      </c>
      <c r="AA66" s="6" t="str">
        <f t="shared" si="4"/>
        <v/>
      </c>
      <c r="AB66" s="7" t="str">
        <f>IFERROR(IF(AND(Q65="Impacto",Q66="Impacto"),(AB65-(+AB65*T66)),IF(AND(Q65="Probabilidad",Q66="Impacto"),(AB64-(+AB64*T66)),IF(Q66="Probabilidad",AB65,""))),"")</f>
        <v/>
      </c>
      <c r="AC66" s="8" t="str">
        <f t="shared" si="5"/>
        <v/>
      </c>
      <c r="AD66" s="10"/>
      <c r="AE66" s="18"/>
      <c r="AF66" s="3"/>
      <c r="AG66" s="17"/>
      <c r="AH66" s="17"/>
      <c r="AI66" s="18"/>
      <c r="AJ66" s="3"/>
      <c r="AK66" s="1"/>
      <c r="AL66" s="1"/>
      <c r="AM66" s="1"/>
      <c r="AN66" s="1"/>
      <c r="AO66" s="1"/>
      <c r="AP66" s="1"/>
      <c r="AQ66" s="1"/>
      <c r="AR66" s="1"/>
      <c r="AS66" s="1"/>
      <c r="AT66" s="1"/>
      <c r="AU66" s="1"/>
      <c r="AV66" s="1"/>
      <c r="AW66" s="1"/>
      <c r="AX66" s="1"/>
      <c r="AY66" s="1"/>
      <c r="AZ66" s="1"/>
      <c r="BA66" s="1"/>
      <c r="BB66" s="1"/>
      <c r="BC66" s="1"/>
      <c r="BD66" s="1"/>
    </row>
    <row r="67" spans="1:56" ht="151.5" customHeight="1" x14ac:dyDescent="0.3">
      <c r="A67" s="947"/>
      <c r="B67" s="947"/>
      <c r="C67" s="947"/>
      <c r="D67" s="947"/>
      <c r="E67" s="947"/>
      <c r="F67" s="947"/>
      <c r="G67" s="947"/>
      <c r="H67" s="947"/>
      <c r="I67" s="947"/>
      <c r="J67" s="947"/>
      <c r="K67" s="947"/>
      <c r="L67" s="947"/>
      <c r="M67" s="947"/>
      <c r="N67" s="947"/>
      <c r="O67" s="3">
        <v>4</v>
      </c>
      <c r="P67" s="11"/>
      <c r="Q67" s="3" t="str">
        <f t="shared" si="0"/>
        <v/>
      </c>
      <c r="R67" s="9"/>
      <c r="S67" s="9"/>
      <c r="T67" s="4" t="str">
        <f t="shared" si="1"/>
        <v/>
      </c>
      <c r="U67" s="9"/>
      <c r="V67" s="9"/>
      <c r="W67" s="9"/>
      <c r="X67" s="5" t="str">
        <f>IFERROR(IF(AND(Q66="Probabilidad",Q67="Probabilidad"),(Z66-(+Z66*T67)),IF(AND(Q66="Impacto",Q67="Probabilidad"),(Z65-(+Z65*T67)),IF(Q67="Impacto",Z66,""))),"")</f>
        <v/>
      </c>
      <c r="Y67" s="6" t="str">
        <f t="shared" si="2"/>
        <v/>
      </c>
      <c r="Z67" s="7" t="str">
        <f t="shared" si="3"/>
        <v/>
      </c>
      <c r="AA67" s="6" t="str">
        <f t="shared" si="4"/>
        <v/>
      </c>
      <c r="AB67" s="7" t="str">
        <f>IFERROR(IF(AND(Q66="Impacto",Q67="Impacto"),(AB66-(+AB66*T67)),IF(AND(Q66="Probabilidad",Q67="Impacto"),(AB65-(+AB65*T67)),IF(Q67="Probabilidad",AB66,""))),"")</f>
        <v/>
      </c>
      <c r="AC67" s="8" t="str">
        <f t="shared" si="5"/>
        <v/>
      </c>
      <c r="AD67" s="10"/>
      <c r="AE67" s="18"/>
      <c r="AF67" s="3"/>
      <c r="AG67" s="17"/>
      <c r="AH67" s="17"/>
      <c r="AI67" s="18"/>
      <c r="AJ67" s="3"/>
      <c r="AK67" s="1"/>
      <c r="AL67" s="1"/>
      <c r="AM67" s="1"/>
      <c r="AN67" s="1"/>
      <c r="AO67" s="1"/>
      <c r="AP67" s="1"/>
      <c r="AQ67" s="1"/>
      <c r="AR67" s="1"/>
      <c r="AS67" s="1"/>
      <c r="AT67" s="1"/>
      <c r="AU67" s="1"/>
      <c r="AV67" s="1"/>
      <c r="AW67" s="1"/>
      <c r="AX67" s="1"/>
      <c r="AY67" s="1"/>
      <c r="AZ67" s="1"/>
      <c r="BA67" s="1"/>
      <c r="BB67" s="1"/>
      <c r="BC67" s="1"/>
      <c r="BD67" s="1"/>
    </row>
    <row r="68" spans="1:56" ht="151.5" customHeight="1" x14ac:dyDescent="0.3">
      <c r="A68" s="947"/>
      <c r="B68" s="947"/>
      <c r="C68" s="947"/>
      <c r="D68" s="947"/>
      <c r="E68" s="947"/>
      <c r="F68" s="947"/>
      <c r="G68" s="947"/>
      <c r="H68" s="947"/>
      <c r="I68" s="947"/>
      <c r="J68" s="947"/>
      <c r="K68" s="947"/>
      <c r="L68" s="947"/>
      <c r="M68" s="947"/>
      <c r="N68" s="947"/>
      <c r="O68" s="3">
        <v>5</v>
      </c>
      <c r="P68" s="11"/>
      <c r="Q68" s="3" t="str">
        <f t="shared" si="0"/>
        <v/>
      </c>
      <c r="R68" s="9"/>
      <c r="S68" s="9"/>
      <c r="T68" s="4" t="str">
        <f t="shared" si="1"/>
        <v/>
      </c>
      <c r="U68" s="9"/>
      <c r="V68" s="9"/>
      <c r="W68" s="9"/>
      <c r="X68" s="5" t="str">
        <f>IFERROR(IF(AND(Q67="Probabilidad",Q68="Probabilidad"),(Z67-(+Z67*T68)),IF(AND(Q67="Impacto",Q68="Probabilidad"),(Z66-(+Z66*T68)),IF(Q68="Impacto",Z67,""))),"")</f>
        <v/>
      </c>
      <c r="Y68" s="6" t="str">
        <f t="shared" si="2"/>
        <v/>
      </c>
      <c r="Z68" s="7" t="str">
        <f t="shared" si="3"/>
        <v/>
      </c>
      <c r="AA68" s="6" t="str">
        <f t="shared" si="4"/>
        <v/>
      </c>
      <c r="AB68" s="7" t="str">
        <f>IFERROR(IF(AND(Q67="Impacto",Q68="Impacto"),(AB67-(+AB67*T68)),IF(AND(Q67="Probabilidad",Q68="Impacto"),(AB66-(+AB66*T68)),IF(Q68="Probabilidad",AB67,""))),"")</f>
        <v/>
      </c>
      <c r="AC68" s="8" t="str">
        <f t="shared" si="5"/>
        <v/>
      </c>
      <c r="AD68" s="10"/>
      <c r="AE68" s="18"/>
      <c r="AF68" s="3"/>
      <c r="AG68" s="17"/>
      <c r="AH68" s="17"/>
      <c r="AI68" s="18"/>
      <c r="AJ68" s="3"/>
      <c r="AK68" s="1"/>
      <c r="AL68" s="1"/>
      <c r="AM68" s="1"/>
      <c r="AN68" s="1"/>
      <c r="AO68" s="1"/>
      <c r="AP68" s="1"/>
      <c r="AQ68" s="1"/>
      <c r="AR68" s="1"/>
      <c r="AS68" s="1"/>
      <c r="AT68" s="1"/>
      <c r="AU68" s="1"/>
      <c r="AV68" s="1"/>
      <c r="AW68" s="1"/>
      <c r="AX68" s="1"/>
      <c r="AY68" s="1"/>
      <c r="AZ68" s="1"/>
      <c r="BA68" s="1"/>
      <c r="BB68" s="1"/>
      <c r="BC68" s="1"/>
      <c r="BD68" s="1"/>
    </row>
    <row r="69" spans="1:56" ht="151.5" customHeight="1" x14ac:dyDescent="0.3">
      <c r="A69" s="948"/>
      <c r="B69" s="948"/>
      <c r="C69" s="948"/>
      <c r="D69" s="948"/>
      <c r="E69" s="948"/>
      <c r="F69" s="948"/>
      <c r="G69" s="948"/>
      <c r="H69" s="948"/>
      <c r="I69" s="948"/>
      <c r="J69" s="948"/>
      <c r="K69" s="948"/>
      <c r="L69" s="948"/>
      <c r="M69" s="948"/>
      <c r="N69" s="948"/>
      <c r="O69" s="3">
        <v>6</v>
      </c>
      <c r="P69" s="11"/>
      <c r="Q69" s="3" t="str">
        <f t="shared" si="0"/>
        <v/>
      </c>
      <c r="R69" s="9"/>
      <c r="S69" s="9"/>
      <c r="T69" s="4" t="str">
        <f t="shared" si="1"/>
        <v/>
      </c>
      <c r="U69" s="9"/>
      <c r="V69" s="9"/>
      <c r="W69" s="9"/>
      <c r="X69" s="5" t="str">
        <f>IFERROR(IF(AND(Q68="Probabilidad",Q69="Probabilidad"),(Z68-(+Z68*T69)),IF(AND(Q68="Impacto",Q69="Probabilidad"),(Z67-(+Z67*T69)),IF(Q69="Impacto",Z68,""))),"")</f>
        <v/>
      </c>
      <c r="Y69" s="6" t="str">
        <f t="shared" si="2"/>
        <v/>
      </c>
      <c r="Z69" s="7" t="str">
        <f t="shared" si="3"/>
        <v/>
      </c>
      <c r="AA69" s="6" t="str">
        <f t="shared" si="4"/>
        <v/>
      </c>
      <c r="AB69" s="7" t="str">
        <f>IFERROR(IF(AND(Q68="Impacto",Q69="Impacto"),(AB68-(+AB68*T69)),IF(AND(Q68="Probabilidad",Q69="Impacto"),(AB67-(+AB67*T69)),IF(Q69="Probabilidad",AB68,""))),"")</f>
        <v/>
      </c>
      <c r="AC69" s="8" t="str">
        <f t="shared" si="5"/>
        <v/>
      </c>
      <c r="AD69" s="10"/>
      <c r="AE69" s="18"/>
      <c r="AF69" s="3"/>
      <c r="AG69" s="17"/>
      <c r="AH69" s="17"/>
      <c r="AI69" s="18"/>
      <c r="AJ69" s="3"/>
      <c r="AK69" s="1"/>
      <c r="AL69" s="1"/>
      <c r="AM69" s="1"/>
      <c r="AN69" s="1"/>
      <c r="AO69" s="1"/>
      <c r="AP69" s="1"/>
      <c r="AQ69" s="1"/>
      <c r="AR69" s="1"/>
      <c r="AS69" s="1"/>
      <c r="AT69" s="1"/>
      <c r="AU69" s="1"/>
      <c r="AV69" s="1"/>
      <c r="AW69" s="1"/>
      <c r="AX69" s="1"/>
      <c r="AY69" s="1"/>
      <c r="AZ69" s="1"/>
      <c r="BA69" s="1"/>
      <c r="BB69" s="1"/>
      <c r="BC69" s="1"/>
      <c r="BD69" s="1"/>
    </row>
    <row r="70" spans="1:56" ht="49.5" customHeight="1" x14ac:dyDescent="0.3">
      <c r="A70" s="3"/>
      <c r="B70" s="943" t="s">
        <v>1300</v>
      </c>
      <c r="C70" s="944"/>
      <c r="D70" s="944"/>
      <c r="E70" s="944"/>
      <c r="F70" s="944"/>
      <c r="G70" s="944"/>
      <c r="H70" s="944"/>
      <c r="I70" s="944"/>
      <c r="J70" s="944"/>
      <c r="K70" s="944"/>
      <c r="L70" s="944"/>
      <c r="M70" s="944"/>
      <c r="N70" s="944"/>
      <c r="O70" s="944"/>
      <c r="P70" s="944"/>
      <c r="Q70" s="944"/>
      <c r="R70" s="944"/>
      <c r="S70" s="944"/>
      <c r="T70" s="944"/>
      <c r="U70" s="944"/>
      <c r="V70" s="944"/>
      <c r="W70" s="944"/>
      <c r="X70" s="944"/>
      <c r="Y70" s="944"/>
      <c r="Z70" s="944"/>
      <c r="AA70" s="944"/>
      <c r="AB70" s="944"/>
      <c r="AC70" s="944"/>
      <c r="AD70" s="944"/>
      <c r="AE70" s="944"/>
      <c r="AF70" s="944"/>
      <c r="AG70" s="944"/>
      <c r="AH70" s="944"/>
      <c r="AI70" s="944"/>
      <c r="AJ70" s="945"/>
      <c r="AK70" s="1"/>
      <c r="AL70" s="1"/>
      <c r="AM70" s="1"/>
      <c r="AN70" s="1"/>
      <c r="AO70" s="1"/>
      <c r="AP70" s="1"/>
      <c r="AQ70" s="1"/>
      <c r="AR70" s="1"/>
      <c r="AS70" s="1"/>
      <c r="AT70" s="1"/>
      <c r="AU70" s="1"/>
      <c r="AV70" s="1"/>
      <c r="AW70" s="1"/>
      <c r="AX70" s="1"/>
      <c r="AY70" s="1"/>
      <c r="AZ70" s="1"/>
      <c r="BA70" s="1"/>
      <c r="BB70" s="1"/>
      <c r="BC70" s="1"/>
      <c r="BD70" s="1"/>
    </row>
    <row r="71" spans="1:56" ht="16.5" customHeight="1" x14ac:dyDescent="0.3">
      <c r="A71" s="14"/>
      <c r="B71" s="14"/>
      <c r="C71" s="14"/>
      <c r="D71" s="14"/>
      <c r="E71" s="1"/>
      <c r="F71" s="15"/>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ht="16.5" customHeight="1" x14ac:dyDescent="0.3">
      <c r="A72" s="1"/>
      <c r="B72" s="16" t="s">
        <v>1301</v>
      </c>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ht="16.5" customHeight="1" x14ac:dyDescent="0.3">
      <c r="A73" s="14"/>
      <c r="B73" s="14"/>
      <c r="C73" s="14"/>
      <c r="D73" s="14"/>
      <c r="E73" s="1"/>
      <c r="F73" s="15"/>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ht="16.5" customHeight="1" x14ac:dyDescent="0.3">
      <c r="A74" s="14"/>
      <c r="B74" s="14"/>
      <c r="C74" s="14"/>
      <c r="D74" s="14"/>
      <c r="E74" s="1"/>
      <c r="F74" s="15"/>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ht="16.5" customHeight="1" x14ac:dyDescent="0.3">
      <c r="A75" s="14"/>
      <c r="B75" s="14"/>
      <c r="C75" s="14"/>
      <c r="D75" s="14"/>
      <c r="E75" s="1"/>
      <c r="F75" s="15"/>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ht="16.5" customHeight="1" x14ac:dyDescent="0.3">
      <c r="A76" s="14"/>
      <c r="B76" s="14"/>
      <c r="C76" s="14"/>
      <c r="D76" s="14"/>
      <c r="E76" s="1"/>
      <c r="F76" s="15"/>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ht="16.5" customHeight="1" x14ac:dyDescent="0.3">
      <c r="A77" s="14"/>
      <c r="B77" s="14"/>
      <c r="C77" s="14"/>
      <c r="D77" s="14"/>
      <c r="E77" s="1"/>
      <c r="F77" s="15"/>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ht="16.5" customHeight="1" x14ac:dyDescent="0.3">
      <c r="A78" s="14"/>
      <c r="B78" s="14"/>
      <c r="C78" s="14"/>
      <c r="D78" s="14"/>
      <c r="E78" s="1"/>
      <c r="F78" s="15"/>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ht="16.5" customHeight="1" x14ac:dyDescent="0.3">
      <c r="A79" s="14"/>
      <c r="B79" s="14"/>
      <c r="C79" s="14"/>
      <c r="D79" s="14"/>
      <c r="E79" s="1"/>
      <c r="F79" s="15"/>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ht="16.5" customHeight="1" x14ac:dyDescent="0.3">
      <c r="A80" s="14"/>
      <c r="B80" s="14"/>
      <c r="C80" s="14"/>
      <c r="D80" s="14"/>
      <c r="E80" s="1"/>
      <c r="F80" s="15"/>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ht="16.5" customHeight="1" x14ac:dyDescent="0.3">
      <c r="A81" s="14"/>
      <c r="B81" s="14"/>
      <c r="C81" s="14"/>
      <c r="D81" s="14"/>
      <c r="E81" s="1"/>
      <c r="F81" s="15"/>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ht="16.5" customHeight="1" x14ac:dyDescent="0.3">
      <c r="A82" s="14"/>
      <c r="B82" s="14"/>
      <c r="C82" s="14"/>
      <c r="D82" s="14"/>
      <c r="E82" s="1"/>
      <c r="F82" s="15"/>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ht="16.5" customHeight="1" x14ac:dyDescent="0.3">
      <c r="A83" s="14"/>
      <c r="B83" s="14"/>
      <c r="C83" s="14"/>
      <c r="D83" s="14"/>
      <c r="E83" s="1"/>
      <c r="F83" s="15"/>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ht="16.5" customHeight="1" x14ac:dyDescent="0.3">
      <c r="A84" s="14"/>
      <c r="B84" s="14"/>
      <c r="C84" s="14"/>
      <c r="D84" s="14"/>
      <c r="E84" s="1"/>
      <c r="F84" s="15"/>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ht="16.5" customHeight="1" x14ac:dyDescent="0.3">
      <c r="A85" s="14"/>
      <c r="B85" s="14"/>
      <c r="C85" s="14"/>
      <c r="D85" s="14"/>
      <c r="E85" s="1"/>
      <c r="F85" s="15"/>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ht="16.5" customHeight="1" x14ac:dyDescent="0.3">
      <c r="A86" s="14"/>
      <c r="B86" s="14"/>
      <c r="C86" s="14"/>
      <c r="D86" s="14"/>
      <c r="E86" s="1"/>
      <c r="F86" s="15"/>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ht="16.5" customHeight="1" x14ac:dyDescent="0.3">
      <c r="A87" s="14"/>
      <c r="B87" s="14"/>
      <c r="C87" s="14"/>
      <c r="D87" s="14"/>
      <c r="E87" s="1"/>
      <c r="F87" s="15"/>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ht="16.5" customHeight="1" x14ac:dyDescent="0.3">
      <c r="A88" s="14"/>
      <c r="B88" s="14"/>
      <c r="C88" s="14"/>
      <c r="D88" s="14"/>
      <c r="E88" s="1"/>
      <c r="F88" s="15"/>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ht="16.5" customHeight="1" x14ac:dyDescent="0.3">
      <c r="A89" s="14"/>
      <c r="B89" s="14"/>
      <c r="C89" s="14"/>
      <c r="D89" s="14"/>
      <c r="E89" s="1"/>
      <c r="F89" s="15"/>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ht="16.5" customHeight="1" x14ac:dyDescent="0.3">
      <c r="A90" s="14"/>
      <c r="B90" s="14"/>
      <c r="C90" s="14"/>
      <c r="D90" s="14"/>
      <c r="E90" s="1"/>
      <c r="F90" s="15"/>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ht="16.5" customHeight="1" x14ac:dyDescent="0.3">
      <c r="A91" s="14"/>
      <c r="B91" s="14"/>
      <c r="C91" s="14"/>
      <c r="D91" s="14"/>
      <c r="E91" s="1"/>
      <c r="F91" s="15"/>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ht="16.5" customHeight="1" x14ac:dyDescent="0.3">
      <c r="A92" s="14"/>
      <c r="B92" s="14"/>
      <c r="C92" s="14"/>
      <c r="D92" s="14"/>
      <c r="E92" s="1"/>
      <c r="F92" s="15"/>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ht="16.5" customHeight="1" x14ac:dyDescent="0.3">
      <c r="A93" s="14"/>
      <c r="B93" s="14"/>
      <c r="C93" s="14"/>
      <c r="D93" s="14"/>
      <c r="E93" s="1"/>
      <c r="F93" s="15"/>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ht="16.5" customHeight="1" x14ac:dyDescent="0.3">
      <c r="A94" s="14"/>
      <c r="B94" s="14"/>
      <c r="C94" s="14"/>
      <c r="D94" s="14"/>
      <c r="E94" s="1"/>
      <c r="F94" s="15"/>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ht="16.5" customHeight="1" x14ac:dyDescent="0.3">
      <c r="A95" s="14"/>
      <c r="B95" s="14"/>
      <c r="C95" s="14"/>
      <c r="D95" s="14"/>
      <c r="E95" s="1"/>
      <c r="F95" s="15"/>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ht="16.5" customHeight="1" x14ac:dyDescent="0.3">
      <c r="A96" s="14"/>
      <c r="B96" s="14"/>
      <c r="C96" s="14"/>
      <c r="D96" s="14"/>
      <c r="E96" s="1"/>
      <c r="F96" s="15"/>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ht="16.5" customHeight="1" x14ac:dyDescent="0.3">
      <c r="A97" s="14"/>
      <c r="B97" s="14"/>
      <c r="C97" s="14"/>
      <c r="D97" s="14"/>
      <c r="E97" s="1"/>
      <c r="F97" s="15"/>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ht="16.5" customHeight="1" x14ac:dyDescent="0.3">
      <c r="A98" s="14"/>
      <c r="B98" s="14"/>
      <c r="C98" s="14"/>
      <c r="D98" s="14"/>
      <c r="E98" s="1"/>
      <c r="F98" s="15"/>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ht="16.5" customHeight="1" x14ac:dyDescent="0.3">
      <c r="A99" s="14"/>
      <c r="B99" s="14"/>
      <c r="C99" s="14"/>
      <c r="D99" s="14"/>
      <c r="E99" s="1"/>
      <c r="F99" s="15"/>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ht="16.5" customHeight="1" x14ac:dyDescent="0.3">
      <c r="A100" s="14"/>
      <c r="B100" s="14"/>
      <c r="C100" s="14"/>
      <c r="D100" s="14"/>
      <c r="E100" s="1"/>
      <c r="F100" s="15"/>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ht="16.5" customHeight="1" x14ac:dyDescent="0.3">
      <c r="A101" s="14"/>
      <c r="B101" s="14"/>
      <c r="C101" s="14"/>
      <c r="D101" s="14"/>
      <c r="E101" s="1"/>
      <c r="F101" s="15"/>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ht="16.5" customHeight="1" x14ac:dyDescent="0.3">
      <c r="A102" s="14"/>
      <c r="B102" s="14"/>
      <c r="C102" s="14"/>
      <c r="D102" s="14"/>
      <c r="E102" s="1"/>
      <c r="F102" s="15"/>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ht="16.5" customHeight="1" x14ac:dyDescent="0.3">
      <c r="A103" s="14"/>
      <c r="B103" s="14"/>
      <c r="C103" s="14"/>
      <c r="D103" s="14"/>
      <c r="E103" s="1"/>
      <c r="F103" s="15"/>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ht="16.5" customHeight="1" x14ac:dyDescent="0.3">
      <c r="A104" s="14"/>
      <c r="B104" s="14"/>
      <c r="C104" s="14"/>
      <c r="D104" s="14"/>
      <c r="E104" s="1"/>
      <c r="F104" s="15"/>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ht="16.5" customHeight="1" x14ac:dyDescent="0.3">
      <c r="A105" s="14"/>
      <c r="B105" s="14"/>
      <c r="C105" s="14"/>
      <c r="D105" s="14"/>
      <c r="E105" s="1"/>
      <c r="F105" s="15"/>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ht="16.5" customHeight="1" x14ac:dyDescent="0.3">
      <c r="A106" s="14"/>
      <c r="B106" s="14"/>
      <c r="C106" s="14"/>
      <c r="D106" s="14"/>
      <c r="E106" s="1"/>
      <c r="F106" s="15"/>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ht="16.5" customHeight="1" x14ac:dyDescent="0.3">
      <c r="A107" s="14"/>
      <c r="B107" s="14"/>
      <c r="C107" s="14"/>
      <c r="D107" s="14"/>
      <c r="E107" s="1"/>
      <c r="F107" s="15"/>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ht="16.5" customHeight="1" x14ac:dyDescent="0.3">
      <c r="A108" s="14"/>
      <c r="B108" s="14"/>
      <c r="C108" s="14"/>
      <c r="D108" s="14"/>
      <c r="E108" s="1"/>
      <c r="F108" s="15"/>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ht="16.5" customHeight="1" x14ac:dyDescent="0.3">
      <c r="A109" s="14"/>
      <c r="B109" s="14"/>
      <c r="C109" s="14"/>
      <c r="D109" s="14"/>
      <c r="E109" s="1"/>
      <c r="F109" s="15"/>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ht="16.5" customHeight="1" x14ac:dyDescent="0.3">
      <c r="A110" s="14"/>
      <c r="B110" s="14"/>
      <c r="C110" s="14"/>
      <c r="D110" s="14"/>
      <c r="E110" s="1"/>
      <c r="F110" s="15"/>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ht="16.5" customHeight="1" x14ac:dyDescent="0.3">
      <c r="A111" s="14"/>
      <c r="B111" s="14"/>
      <c r="C111" s="14"/>
      <c r="D111" s="14"/>
      <c r="E111" s="1"/>
      <c r="F111" s="15"/>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ht="16.5" customHeight="1" x14ac:dyDescent="0.3">
      <c r="A112" s="14"/>
      <c r="B112" s="14"/>
      <c r="C112" s="14"/>
      <c r="D112" s="14"/>
      <c r="E112" s="1"/>
      <c r="F112" s="15"/>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ht="16.5" customHeight="1" x14ac:dyDescent="0.3">
      <c r="A113" s="14"/>
      <c r="B113" s="14"/>
      <c r="C113" s="14"/>
      <c r="D113" s="14"/>
      <c r="E113" s="1"/>
      <c r="F113" s="15"/>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ht="16.5" customHeight="1" x14ac:dyDescent="0.3">
      <c r="A114" s="14"/>
      <c r="B114" s="14"/>
      <c r="C114" s="14"/>
      <c r="D114" s="14"/>
      <c r="E114" s="1"/>
      <c r="F114" s="15"/>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ht="16.5" customHeight="1" x14ac:dyDescent="0.3">
      <c r="A115" s="14"/>
      <c r="B115" s="14"/>
      <c r="C115" s="14"/>
      <c r="D115" s="14"/>
      <c r="E115" s="1"/>
      <c r="F115" s="15"/>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ht="16.5" customHeight="1" x14ac:dyDescent="0.3">
      <c r="A116" s="14"/>
      <c r="B116" s="14"/>
      <c r="C116" s="14"/>
      <c r="D116" s="14"/>
      <c r="E116" s="1"/>
      <c r="F116" s="15"/>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ht="16.5" customHeight="1" x14ac:dyDescent="0.3">
      <c r="A117" s="14"/>
      <c r="B117" s="14"/>
      <c r="C117" s="14"/>
      <c r="D117" s="14"/>
      <c r="E117" s="1"/>
      <c r="F117" s="15"/>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ht="16.5" customHeight="1" x14ac:dyDescent="0.3">
      <c r="A118" s="14"/>
      <c r="B118" s="14"/>
      <c r="C118" s="14"/>
      <c r="D118" s="14"/>
      <c r="E118" s="1"/>
      <c r="F118" s="15"/>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ht="16.5" customHeight="1" x14ac:dyDescent="0.3">
      <c r="A119" s="14"/>
      <c r="B119" s="14"/>
      <c r="C119" s="14"/>
      <c r="D119" s="14"/>
      <c r="E119" s="1"/>
      <c r="F119" s="15"/>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ht="16.5" customHeight="1" x14ac:dyDescent="0.3">
      <c r="A120" s="14"/>
      <c r="B120" s="14"/>
      <c r="C120" s="14"/>
      <c r="D120" s="14"/>
      <c r="E120" s="1"/>
      <c r="F120" s="15"/>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ht="16.5" customHeight="1" x14ac:dyDescent="0.3">
      <c r="A121" s="14"/>
      <c r="B121" s="14"/>
      <c r="C121" s="14"/>
      <c r="D121" s="14"/>
      <c r="E121" s="1"/>
      <c r="F121" s="15"/>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ht="16.5" customHeight="1" x14ac:dyDescent="0.3">
      <c r="A122" s="14"/>
      <c r="B122" s="14"/>
      <c r="C122" s="14"/>
      <c r="D122" s="14"/>
      <c r="E122" s="1"/>
      <c r="F122" s="15"/>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ht="16.5" customHeight="1" x14ac:dyDescent="0.3">
      <c r="A123" s="14"/>
      <c r="B123" s="14"/>
      <c r="C123" s="14"/>
      <c r="D123" s="14"/>
      <c r="E123" s="1"/>
      <c r="F123" s="15"/>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ht="16.5" customHeight="1" x14ac:dyDescent="0.3">
      <c r="A124" s="14"/>
      <c r="B124" s="14"/>
      <c r="C124" s="14"/>
      <c r="D124" s="14"/>
      <c r="E124" s="1"/>
      <c r="F124" s="15"/>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ht="16.5" customHeight="1" x14ac:dyDescent="0.3">
      <c r="A125" s="14"/>
      <c r="B125" s="14"/>
      <c r="C125" s="14"/>
      <c r="D125" s="14"/>
      <c r="E125" s="1"/>
      <c r="F125" s="15"/>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ht="16.5" customHeight="1" x14ac:dyDescent="0.3">
      <c r="A126" s="14"/>
      <c r="B126" s="14"/>
      <c r="C126" s="14"/>
      <c r="D126" s="14"/>
      <c r="E126" s="1"/>
      <c r="F126" s="15"/>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ht="16.5" customHeight="1" x14ac:dyDescent="0.3">
      <c r="A127" s="14"/>
      <c r="B127" s="14"/>
      <c r="C127" s="14"/>
      <c r="D127" s="14"/>
      <c r="E127" s="1"/>
      <c r="F127" s="15"/>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ht="16.5" customHeight="1" x14ac:dyDescent="0.3">
      <c r="A128" s="14"/>
      <c r="B128" s="14"/>
      <c r="C128" s="14"/>
      <c r="D128" s="14"/>
      <c r="E128" s="1"/>
      <c r="F128" s="15"/>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ht="16.5" customHeight="1" x14ac:dyDescent="0.3">
      <c r="A129" s="14"/>
      <c r="B129" s="14"/>
      <c r="C129" s="14"/>
      <c r="D129" s="14"/>
      <c r="E129" s="1"/>
      <c r="F129" s="15"/>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ht="16.5" customHeight="1" x14ac:dyDescent="0.3">
      <c r="A130" s="14"/>
      <c r="B130" s="14"/>
      <c r="C130" s="14"/>
      <c r="D130" s="14"/>
      <c r="E130" s="1"/>
      <c r="F130" s="15"/>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ht="16.5" customHeight="1" x14ac:dyDescent="0.3">
      <c r="A131" s="14"/>
      <c r="B131" s="14"/>
      <c r="C131" s="14"/>
      <c r="D131" s="14"/>
      <c r="E131" s="1"/>
      <c r="F131" s="15"/>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ht="16.5" customHeight="1" x14ac:dyDescent="0.3">
      <c r="A132" s="14"/>
      <c r="B132" s="14"/>
      <c r="C132" s="14"/>
      <c r="D132" s="14"/>
      <c r="E132" s="1"/>
      <c r="F132" s="15"/>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ht="16.5" customHeight="1" x14ac:dyDescent="0.3">
      <c r="A133" s="14"/>
      <c r="B133" s="14"/>
      <c r="C133" s="14"/>
      <c r="D133" s="14"/>
      <c r="E133" s="1"/>
      <c r="F133" s="15"/>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ht="16.5" customHeight="1" x14ac:dyDescent="0.3">
      <c r="A134" s="14"/>
      <c r="B134" s="14"/>
      <c r="C134" s="14"/>
      <c r="D134" s="14"/>
      <c r="E134" s="1"/>
      <c r="F134" s="15"/>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ht="16.5" customHeight="1" x14ac:dyDescent="0.3">
      <c r="A135" s="14"/>
      <c r="B135" s="14"/>
      <c r="C135" s="14"/>
      <c r="D135" s="14"/>
      <c r="E135" s="1"/>
      <c r="F135" s="15"/>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ht="16.5" customHeight="1" x14ac:dyDescent="0.3">
      <c r="A136" s="14"/>
      <c r="B136" s="14"/>
      <c r="C136" s="14"/>
      <c r="D136" s="14"/>
      <c r="E136" s="1"/>
      <c r="F136" s="15"/>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ht="16.5" customHeight="1" x14ac:dyDescent="0.3">
      <c r="A137" s="14"/>
      <c r="B137" s="14"/>
      <c r="C137" s="14"/>
      <c r="D137" s="14"/>
      <c r="E137" s="1"/>
      <c r="F137" s="15"/>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ht="16.5" customHeight="1" x14ac:dyDescent="0.3">
      <c r="A138" s="14"/>
      <c r="B138" s="14"/>
      <c r="C138" s="14"/>
      <c r="D138" s="14"/>
      <c r="E138" s="1"/>
      <c r="F138" s="1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ht="16.5" customHeight="1" x14ac:dyDescent="0.3">
      <c r="A139" s="14"/>
      <c r="B139" s="14"/>
      <c r="C139" s="14"/>
      <c r="D139" s="14"/>
      <c r="E139" s="1"/>
      <c r="F139" s="15"/>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ht="16.5" customHeight="1" x14ac:dyDescent="0.3">
      <c r="A140" s="14"/>
      <c r="B140" s="14"/>
      <c r="C140" s="14"/>
      <c r="D140" s="14"/>
      <c r="E140" s="1"/>
      <c r="F140" s="15"/>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ht="16.5" customHeight="1" x14ac:dyDescent="0.3">
      <c r="A141" s="14"/>
      <c r="B141" s="14"/>
      <c r="C141" s="14"/>
      <c r="D141" s="14"/>
      <c r="E141" s="1"/>
      <c r="F141" s="1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ht="16.5" customHeight="1" x14ac:dyDescent="0.3">
      <c r="A142" s="14"/>
      <c r="B142" s="14"/>
      <c r="C142" s="14"/>
      <c r="D142" s="14"/>
      <c r="E142" s="1"/>
      <c r="F142" s="15"/>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ht="16.5" customHeight="1" x14ac:dyDescent="0.3">
      <c r="A143" s="14"/>
      <c r="B143" s="14"/>
      <c r="C143" s="14"/>
      <c r="D143" s="14"/>
      <c r="E143" s="1"/>
      <c r="F143" s="15"/>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ht="16.5" customHeight="1" x14ac:dyDescent="0.3">
      <c r="A144" s="14"/>
      <c r="B144" s="14"/>
      <c r="C144" s="14"/>
      <c r="D144" s="14"/>
      <c r="E144" s="1"/>
      <c r="F144" s="15"/>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ht="16.5" customHeight="1" x14ac:dyDescent="0.3">
      <c r="A145" s="14"/>
      <c r="B145" s="14"/>
      <c r="C145" s="14"/>
      <c r="D145" s="14"/>
      <c r="E145" s="1"/>
      <c r="F145" s="15"/>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ht="16.5" customHeight="1" x14ac:dyDescent="0.3">
      <c r="A146" s="14"/>
      <c r="B146" s="14"/>
      <c r="C146" s="14"/>
      <c r="D146" s="14"/>
      <c r="E146" s="1"/>
      <c r="F146" s="15"/>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ht="16.5" customHeight="1" x14ac:dyDescent="0.3">
      <c r="A147" s="14"/>
      <c r="B147" s="14"/>
      <c r="C147" s="14"/>
      <c r="D147" s="14"/>
      <c r="E147" s="1"/>
      <c r="F147" s="15"/>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ht="16.5" customHeight="1" x14ac:dyDescent="0.3">
      <c r="A148" s="14"/>
      <c r="B148" s="14"/>
      <c r="C148" s="14"/>
      <c r="D148" s="14"/>
      <c r="E148" s="1"/>
      <c r="F148" s="1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ht="16.5" customHeight="1" x14ac:dyDescent="0.3">
      <c r="A149" s="14"/>
      <c r="B149" s="14"/>
      <c r="C149" s="14"/>
      <c r="D149" s="14"/>
      <c r="E149" s="1"/>
      <c r="F149" s="15"/>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ht="16.5" customHeight="1" x14ac:dyDescent="0.3">
      <c r="A150" s="14"/>
      <c r="B150" s="14"/>
      <c r="C150" s="14"/>
      <c r="D150" s="14"/>
      <c r="E150" s="1"/>
      <c r="F150" s="15"/>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ht="16.5" customHeight="1" x14ac:dyDescent="0.3">
      <c r="A151" s="14"/>
      <c r="B151" s="14"/>
      <c r="C151" s="14"/>
      <c r="D151" s="14"/>
      <c r="E151" s="1"/>
      <c r="F151" s="15"/>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ht="16.5" customHeight="1" x14ac:dyDescent="0.3">
      <c r="A152" s="14"/>
      <c r="B152" s="14"/>
      <c r="C152" s="14"/>
      <c r="D152" s="14"/>
      <c r="E152" s="1"/>
      <c r="F152" s="15"/>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ht="16.5" customHeight="1" x14ac:dyDescent="0.3">
      <c r="A153" s="14"/>
      <c r="B153" s="14"/>
      <c r="C153" s="14"/>
      <c r="D153" s="14"/>
      <c r="E153" s="1"/>
      <c r="F153" s="15"/>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ht="16.5" customHeight="1" x14ac:dyDescent="0.3">
      <c r="A154" s="14"/>
      <c r="B154" s="14"/>
      <c r="C154" s="14"/>
      <c r="D154" s="14"/>
      <c r="E154" s="1"/>
      <c r="F154" s="15"/>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ht="16.5" customHeight="1" x14ac:dyDescent="0.3">
      <c r="A155" s="14"/>
      <c r="B155" s="14"/>
      <c r="C155" s="14"/>
      <c r="D155" s="14"/>
      <c r="E155" s="1"/>
      <c r="F155" s="15"/>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ht="16.5" customHeight="1" x14ac:dyDescent="0.3">
      <c r="A156" s="14"/>
      <c r="B156" s="14"/>
      <c r="C156" s="14"/>
      <c r="D156" s="14"/>
      <c r="E156" s="1"/>
      <c r="F156" s="15"/>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ht="16.5" customHeight="1" x14ac:dyDescent="0.3">
      <c r="A157" s="14"/>
      <c r="B157" s="14"/>
      <c r="C157" s="14"/>
      <c r="D157" s="14"/>
      <c r="E157" s="1"/>
      <c r="F157" s="15"/>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ht="16.5" customHeight="1" x14ac:dyDescent="0.3">
      <c r="A158" s="14"/>
      <c r="B158" s="14"/>
      <c r="C158" s="14"/>
      <c r="D158" s="14"/>
      <c r="E158" s="1"/>
      <c r="F158" s="15"/>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ht="16.5" customHeight="1" x14ac:dyDescent="0.3">
      <c r="A159" s="14"/>
      <c r="B159" s="14"/>
      <c r="C159" s="14"/>
      <c r="D159" s="14"/>
      <c r="E159" s="1"/>
      <c r="F159" s="15"/>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ht="16.5" customHeight="1" x14ac:dyDescent="0.3">
      <c r="A160" s="14"/>
      <c r="B160" s="14"/>
      <c r="C160" s="14"/>
      <c r="D160" s="14"/>
      <c r="E160" s="1"/>
      <c r="F160" s="15"/>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ht="16.5" customHeight="1" x14ac:dyDescent="0.3">
      <c r="A161" s="14"/>
      <c r="B161" s="14"/>
      <c r="C161" s="14"/>
      <c r="D161" s="14"/>
      <c r="E161" s="1"/>
      <c r="F161" s="15"/>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ht="16.5" customHeight="1" x14ac:dyDescent="0.3">
      <c r="A162" s="14"/>
      <c r="B162" s="14"/>
      <c r="C162" s="14"/>
      <c r="D162" s="14"/>
      <c r="E162" s="1"/>
      <c r="F162" s="15"/>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ht="16.5" customHeight="1" x14ac:dyDescent="0.3">
      <c r="A163" s="14"/>
      <c r="B163" s="14"/>
      <c r="C163" s="14"/>
      <c r="D163" s="14"/>
      <c r="E163" s="1"/>
      <c r="F163" s="15"/>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ht="16.5" customHeight="1" x14ac:dyDescent="0.3">
      <c r="A164" s="14"/>
      <c r="B164" s="14"/>
      <c r="C164" s="14"/>
      <c r="D164" s="14"/>
      <c r="E164" s="1"/>
      <c r="F164" s="15"/>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ht="16.5" customHeight="1" x14ac:dyDescent="0.3">
      <c r="A165" s="14"/>
      <c r="B165" s="14"/>
      <c r="C165" s="14"/>
      <c r="D165" s="14"/>
      <c r="E165" s="1"/>
      <c r="F165" s="15"/>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ht="16.5" customHeight="1" x14ac:dyDescent="0.3">
      <c r="A166" s="14"/>
      <c r="B166" s="14"/>
      <c r="C166" s="14"/>
      <c r="D166" s="14"/>
      <c r="E166" s="1"/>
      <c r="F166" s="15"/>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ht="16.5" customHeight="1" x14ac:dyDescent="0.3">
      <c r="A167" s="14"/>
      <c r="B167" s="14"/>
      <c r="C167" s="14"/>
      <c r="D167" s="14"/>
      <c r="E167" s="1"/>
      <c r="F167" s="15"/>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ht="16.5" customHeight="1" x14ac:dyDescent="0.3">
      <c r="A168" s="14"/>
      <c r="B168" s="14"/>
      <c r="C168" s="14"/>
      <c r="D168" s="14"/>
      <c r="E168" s="1"/>
      <c r="F168" s="15"/>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ht="16.5" customHeight="1" x14ac:dyDescent="0.3">
      <c r="A169" s="14"/>
      <c r="B169" s="14"/>
      <c r="C169" s="14"/>
      <c r="D169" s="14"/>
      <c r="E169" s="1"/>
      <c r="F169" s="15"/>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ht="16.5" customHeight="1" x14ac:dyDescent="0.3">
      <c r="A170" s="14"/>
      <c r="B170" s="14"/>
      <c r="C170" s="14"/>
      <c r="D170" s="14"/>
      <c r="E170" s="1"/>
      <c r="F170" s="15"/>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ht="16.5" customHeight="1" x14ac:dyDescent="0.3">
      <c r="A171" s="14"/>
      <c r="B171" s="14"/>
      <c r="C171" s="14"/>
      <c r="D171" s="14"/>
      <c r="E171" s="1"/>
      <c r="F171" s="15"/>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ht="16.5" customHeight="1" x14ac:dyDescent="0.3">
      <c r="A172" s="14"/>
      <c r="B172" s="14"/>
      <c r="C172" s="14"/>
      <c r="D172" s="14"/>
      <c r="E172" s="1"/>
      <c r="F172" s="15"/>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ht="16.5" customHeight="1" x14ac:dyDescent="0.3">
      <c r="A173" s="14"/>
      <c r="B173" s="14"/>
      <c r="C173" s="14"/>
      <c r="D173" s="14"/>
      <c r="E173" s="1"/>
      <c r="F173" s="15"/>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ht="16.5" customHeight="1" x14ac:dyDescent="0.3">
      <c r="A174" s="14"/>
      <c r="B174" s="14"/>
      <c r="C174" s="14"/>
      <c r="D174" s="14"/>
      <c r="E174" s="1"/>
      <c r="F174" s="15"/>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ht="16.5" customHeight="1" x14ac:dyDescent="0.3">
      <c r="A175" s="14"/>
      <c r="B175" s="14"/>
      <c r="C175" s="14"/>
      <c r="D175" s="14"/>
      <c r="E175" s="1"/>
      <c r="F175" s="15"/>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ht="16.5" customHeight="1" x14ac:dyDescent="0.3">
      <c r="A176" s="14"/>
      <c r="B176" s="14"/>
      <c r="C176" s="14"/>
      <c r="D176" s="14"/>
      <c r="E176" s="1"/>
      <c r="F176" s="15"/>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ht="16.5" customHeight="1" x14ac:dyDescent="0.3">
      <c r="A177" s="14"/>
      <c r="B177" s="14"/>
      <c r="C177" s="14"/>
      <c r="D177" s="14"/>
      <c r="E177" s="1"/>
      <c r="F177" s="15"/>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ht="16.5" customHeight="1" x14ac:dyDescent="0.3">
      <c r="A178" s="14"/>
      <c r="B178" s="14"/>
      <c r="C178" s="14"/>
      <c r="D178" s="14"/>
      <c r="E178" s="1"/>
      <c r="F178" s="15"/>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ht="16.5" customHeight="1" x14ac:dyDescent="0.3">
      <c r="A179" s="14"/>
      <c r="B179" s="14"/>
      <c r="C179" s="14"/>
      <c r="D179" s="14"/>
      <c r="E179" s="1"/>
      <c r="F179" s="15"/>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ht="16.5" customHeight="1" x14ac:dyDescent="0.3">
      <c r="A180" s="14"/>
      <c r="B180" s="14"/>
      <c r="C180" s="14"/>
      <c r="D180" s="14"/>
      <c r="E180" s="1"/>
      <c r="F180" s="15"/>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ht="16.5" customHeight="1" x14ac:dyDescent="0.3">
      <c r="A181" s="14"/>
      <c r="B181" s="14"/>
      <c r="C181" s="14"/>
      <c r="D181" s="14"/>
      <c r="E181" s="1"/>
      <c r="F181" s="15"/>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ht="16.5" customHeight="1" x14ac:dyDescent="0.3">
      <c r="A182" s="14"/>
      <c r="B182" s="14"/>
      <c r="C182" s="14"/>
      <c r="D182" s="14"/>
      <c r="E182" s="1"/>
      <c r="F182" s="15"/>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ht="16.5" customHeight="1" x14ac:dyDescent="0.3">
      <c r="A183" s="14"/>
      <c r="B183" s="14"/>
      <c r="C183" s="14"/>
      <c r="D183" s="14"/>
      <c r="E183" s="1"/>
      <c r="F183" s="15"/>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ht="16.5" customHeight="1" x14ac:dyDescent="0.3">
      <c r="A184" s="14"/>
      <c r="B184" s="14"/>
      <c r="C184" s="14"/>
      <c r="D184" s="14"/>
      <c r="E184" s="1"/>
      <c r="F184" s="15"/>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ht="16.5" customHeight="1" x14ac:dyDescent="0.3">
      <c r="A185" s="14"/>
      <c r="B185" s="14"/>
      <c r="C185" s="14"/>
      <c r="D185" s="14"/>
      <c r="E185" s="1"/>
      <c r="F185" s="15"/>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ht="16.5" customHeight="1" x14ac:dyDescent="0.3">
      <c r="A186" s="14"/>
      <c r="B186" s="14"/>
      <c r="C186" s="14"/>
      <c r="D186" s="14"/>
      <c r="E186" s="1"/>
      <c r="F186" s="15"/>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ht="16.5" customHeight="1" x14ac:dyDescent="0.3">
      <c r="A187" s="14"/>
      <c r="B187" s="14"/>
      <c r="C187" s="14"/>
      <c r="D187" s="14"/>
      <c r="E187" s="1"/>
      <c r="F187" s="1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ht="16.5" customHeight="1" x14ac:dyDescent="0.3">
      <c r="A188" s="14"/>
      <c r="B188" s="14"/>
      <c r="C188" s="14"/>
      <c r="D188" s="14"/>
      <c r="E188" s="1"/>
      <c r="F188" s="15"/>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ht="16.5" customHeight="1" x14ac:dyDescent="0.3">
      <c r="A189" s="14"/>
      <c r="B189" s="14"/>
      <c r="C189" s="14"/>
      <c r="D189" s="14"/>
      <c r="E189" s="1"/>
      <c r="F189" s="15"/>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ht="16.5" customHeight="1" x14ac:dyDescent="0.3">
      <c r="A190" s="14"/>
      <c r="B190" s="14"/>
      <c r="C190" s="14"/>
      <c r="D190" s="14"/>
      <c r="E190" s="1"/>
      <c r="F190" s="15"/>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ht="16.5" customHeight="1" x14ac:dyDescent="0.3">
      <c r="A191" s="14"/>
      <c r="B191" s="14"/>
      <c r="C191" s="14"/>
      <c r="D191" s="14"/>
      <c r="E191" s="1"/>
      <c r="F191" s="15"/>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ht="16.5" customHeight="1" x14ac:dyDescent="0.3">
      <c r="A192" s="14"/>
      <c r="B192" s="14"/>
      <c r="C192" s="14"/>
      <c r="D192" s="14"/>
      <c r="E192" s="1"/>
      <c r="F192" s="15"/>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ht="16.5" customHeight="1" x14ac:dyDescent="0.3">
      <c r="A193" s="14"/>
      <c r="B193" s="14"/>
      <c r="C193" s="14"/>
      <c r="D193" s="14"/>
      <c r="E193" s="1"/>
      <c r="F193" s="15"/>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ht="16.5" customHeight="1" x14ac:dyDescent="0.3">
      <c r="A194" s="14"/>
      <c r="B194" s="14"/>
      <c r="C194" s="14"/>
      <c r="D194" s="14"/>
      <c r="E194" s="1"/>
      <c r="F194" s="15"/>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ht="16.5" customHeight="1" x14ac:dyDescent="0.3">
      <c r="A195" s="14"/>
      <c r="B195" s="14"/>
      <c r="C195" s="14"/>
      <c r="D195" s="14"/>
      <c r="E195" s="1"/>
      <c r="F195" s="15"/>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ht="16.5" customHeight="1" x14ac:dyDescent="0.3">
      <c r="A196" s="14"/>
      <c r="B196" s="14"/>
      <c r="C196" s="14"/>
      <c r="D196" s="14"/>
      <c r="E196" s="1"/>
      <c r="F196" s="15"/>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ht="16.5" customHeight="1" x14ac:dyDescent="0.3">
      <c r="A197" s="14"/>
      <c r="B197" s="14"/>
      <c r="C197" s="14"/>
      <c r="D197" s="14"/>
      <c r="E197" s="1"/>
      <c r="F197" s="15"/>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ht="16.5" customHeight="1" x14ac:dyDescent="0.3">
      <c r="A198" s="14"/>
      <c r="B198" s="14"/>
      <c r="C198" s="14"/>
      <c r="D198" s="14"/>
      <c r="E198" s="1"/>
      <c r="F198" s="15"/>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ht="16.5" customHeight="1" x14ac:dyDescent="0.3">
      <c r="A199" s="14"/>
      <c r="B199" s="14"/>
      <c r="C199" s="14"/>
      <c r="D199" s="14"/>
      <c r="E199" s="1"/>
      <c r="F199" s="15"/>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ht="16.5" customHeight="1" x14ac:dyDescent="0.3">
      <c r="A200" s="14"/>
      <c r="B200" s="14"/>
      <c r="C200" s="14"/>
      <c r="D200" s="14"/>
      <c r="E200" s="1"/>
      <c r="F200" s="15"/>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ht="16.5" customHeight="1" x14ac:dyDescent="0.3">
      <c r="A201" s="14"/>
      <c r="B201" s="14"/>
      <c r="C201" s="14"/>
      <c r="D201" s="14"/>
      <c r="E201" s="1"/>
      <c r="F201" s="15"/>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ht="16.5" customHeight="1" x14ac:dyDescent="0.3">
      <c r="A202" s="14"/>
      <c r="B202" s="14"/>
      <c r="C202" s="14"/>
      <c r="D202" s="14"/>
      <c r="E202" s="1"/>
      <c r="F202" s="15"/>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ht="16.5" customHeight="1" x14ac:dyDescent="0.3">
      <c r="A203" s="14"/>
      <c r="B203" s="14"/>
      <c r="C203" s="14"/>
      <c r="D203" s="14"/>
      <c r="E203" s="1"/>
      <c r="F203" s="15"/>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ht="16.5" customHeight="1" x14ac:dyDescent="0.3">
      <c r="A204" s="14"/>
      <c r="B204" s="14"/>
      <c r="C204" s="14"/>
      <c r="D204" s="14"/>
      <c r="E204" s="1"/>
      <c r="F204" s="15"/>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ht="16.5" customHeight="1" x14ac:dyDescent="0.3">
      <c r="A205" s="14"/>
      <c r="B205" s="14"/>
      <c r="C205" s="14"/>
      <c r="D205" s="14"/>
      <c r="E205" s="1"/>
      <c r="F205" s="15"/>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ht="16.5" customHeight="1" x14ac:dyDescent="0.3">
      <c r="A206" s="14"/>
      <c r="B206" s="14"/>
      <c r="C206" s="14"/>
      <c r="D206" s="14"/>
      <c r="E206" s="1"/>
      <c r="F206" s="15"/>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ht="16.5" customHeight="1" x14ac:dyDescent="0.3">
      <c r="A207" s="14"/>
      <c r="B207" s="14"/>
      <c r="C207" s="14"/>
      <c r="D207" s="14"/>
      <c r="E207" s="1"/>
      <c r="F207" s="15"/>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ht="16.5" customHeight="1" x14ac:dyDescent="0.3">
      <c r="A208" s="14"/>
      <c r="B208" s="14"/>
      <c r="C208" s="14"/>
      <c r="D208" s="14"/>
      <c r="E208" s="1"/>
      <c r="F208" s="15"/>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ht="16.5" customHeight="1" x14ac:dyDescent="0.3">
      <c r="A209" s="14"/>
      <c r="B209" s="14"/>
      <c r="C209" s="14"/>
      <c r="D209" s="14"/>
      <c r="E209" s="1"/>
      <c r="F209" s="15"/>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ht="16.5" customHeight="1" x14ac:dyDescent="0.3">
      <c r="A210" s="14"/>
      <c r="B210" s="14"/>
      <c r="C210" s="14"/>
      <c r="D210" s="14"/>
      <c r="E210" s="1"/>
      <c r="F210" s="15"/>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ht="16.5" customHeight="1" x14ac:dyDescent="0.3">
      <c r="A211" s="14"/>
      <c r="B211" s="14"/>
      <c r="C211" s="14"/>
      <c r="D211" s="14"/>
      <c r="E211" s="1"/>
      <c r="F211" s="15"/>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ht="16.5" customHeight="1" x14ac:dyDescent="0.3">
      <c r="A212" s="14"/>
      <c r="B212" s="14"/>
      <c r="C212" s="14"/>
      <c r="D212" s="14"/>
      <c r="E212" s="1"/>
      <c r="F212" s="15"/>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ht="16.5" customHeight="1" x14ac:dyDescent="0.3">
      <c r="A213" s="14"/>
      <c r="B213" s="14"/>
      <c r="C213" s="14"/>
      <c r="D213" s="14"/>
      <c r="E213" s="1"/>
      <c r="F213" s="15"/>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ht="16.5" customHeight="1" x14ac:dyDescent="0.3">
      <c r="A214" s="14"/>
      <c r="B214" s="14"/>
      <c r="C214" s="14"/>
      <c r="D214" s="14"/>
      <c r="E214" s="1"/>
      <c r="F214" s="15"/>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ht="16.5" customHeight="1" x14ac:dyDescent="0.3">
      <c r="A215" s="14"/>
      <c r="B215" s="14"/>
      <c r="C215" s="14"/>
      <c r="D215" s="14"/>
      <c r="E215" s="1"/>
      <c r="F215" s="15"/>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ht="16.5" customHeight="1" x14ac:dyDescent="0.3">
      <c r="A216" s="14"/>
      <c r="B216" s="14"/>
      <c r="C216" s="14"/>
      <c r="D216" s="14"/>
      <c r="E216" s="1"/>
      <c r="F216" s="15"/>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ht="16.5" customHeight="1" x14ac:dyDescent="0.3">
      <c r="A217" s="14"/>
      <c r="B217" s="14"/>
      <c r="C217" s="14"/>
      <c r="D217" s="14"/>
      <c r="E217" s="1"/>
      <c r="F217" s="15"/>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ht="16.5" customHeight="1" x14ac:dyDescent="0.3">
      <c r="A218" s="14"/>
      <c r="B218" s="14"/>
      <c r="C218" s="14"/>
      <c r="D218" s="14"/>
      <c r="E218" s="1"/>
      <c r="F218" s="15"/>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ht="16.5" customHeight="1" x14ac:dyDescent="0.3">
      <c r="A219" s="14"/>
      <c r="B219" s="14"/>
      <c r="C219" s="14"/>
      <c r="D219" s="14"/>
      <c r="E219" s="1"/>
      <c r="F219" s="15"/>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ht="16.5" customHeight="1" x14ac:dyDescent="0.3">
      <c r="A220" s="14"/>
      <c r="B220" s="14"/>
      <c r="C220" s="14"/>
      <c r="D220" s="14"/>
      <c r="E220" s="1"/>
      <c r="F220" s="15"/>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ht="16.5" customHeight="1" x14ac:dyDescent="0.3">
      <c r="A221" s="14"/>
      <c r="B221" s="14"/>
      <c r="C221" s="14"/>
      <c r="D221" s="14"/>
      <c r="E221" s="1"/>
      <c r="F221" s="15"/>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ht="16.5" customHeight="1" x14ac:dyDescent="0.3">
      <c r="A222" s="14"/>
      <c r="B222" s="14"/>
      <c r="C222" s="14"/>
      <c r="D222" s="14"/>
      <c r="E222" s="1"/>
      <c r="F222" s="15"/>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ht="16.5" customHeight="1" x14ac:dyDescent="0.3">
      <c r="A223" s="14"/>
      <c r="B223" s="14"/>
      <c r="C223" s="14"/>
      <c r="D223" s="14"/>
      <c r="E223" s="1"/>
      <c r="F223" s="15"/>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ht="16.5" customHeight="1" x14ac:dyDescent="0.3">
      <c r="A224" s="14"/>
      <c r="B224" s="14"/>
      <c r="C224" s="14"/>
      <c r="D224" s="14"/>
      <c r="E224" s="1"/>
      <c r="F224" s="15"/>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ht="16.5" customHeight="1" x14ac:dyDescent="0.3">
      <c r="A225" s="14"/>
      <c r="B225" s="14"/>
      <c r="C225" s="14"/>
      <c r="D225" s="14"/>
      <c r="E225" s="1"/>
      <c r="F225" s="15"/>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ht="16.5" customHeight="1" x14ac:dyDescent="0.3">
      <c r="A226" s="14"/>
      <c r="B226" s="14"/>
      <c r="C226" s="14"/>
      <c r="D226" s="14"/>
      <c r="E226" s="1"/>
      <c r="F226" s="15"/>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ht="16.5" customHeight="1" x14ac:dyDescent="0.3">
      <c r="A227" s="14"/>
      <c r="B227" s="14"/>
      <c r="C227" s="14"/>
      <c r="D227" s="14"/>
      <c r="E227" s="1"/>
      <c r="F227" s="15"/>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ht="16.5" customHeight="1" x14ac:dyDescent="0.3">
      <c r="A228" s="14"/>
      <c r="B228" s="14"/>
      <c r="C228" s="14"/>
      <c r="D228" s="14"/>
      <c r="E228" s="1"/>
      <c r="F228" s="15"/>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ht="16.5" customHeight="1" x14ac:dyDescent="0.3">
      <c r="A229" s="14"/>
      <c r="B229" s="14"/>
      <c r="C229" s="14"/>
      <c r="D229" s="14"/>
      <c r="E229" s="1"/>
      <c r="F229" s="15"/>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ht="16.5" customHeight="1" x14ac:dyDescent="0.3">
      <c r="A230" s="14"/>
      <c r="B230" s="14"/>
      <c r="C230" s="14"/>
      <c r="D230" s="14"/>
      <c r="E230" s="1"/>
      <c r="F230" s="15"/>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ht="16.5" customHeight="1" x14ac:dyDescent="0.3">
      <c r="A231" s="14"/>
      <c r="B231" s="14"/>
      <c r="C231" s="14"/>
      <c r="D231" s="14"/>
      <c r="E231" s="1"/>
      <c r="F231" s="15"/>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ht="16.5" customHeight="1" x14ac:dyDescent="0.3">
      <c r="A232" s="14"/>
      <c r="B232" s="14"/>
      <c r="C232" s="14"/>
      <c r="D232" s="14"/>
      <c r="E232" s="1"/>
      <c r="F232" s="15"/>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ht="16.5" customHeight="1" x14ac:dyDescent="0.3">
      <c r="A233" s="14"/>
      <c r="B233" s="14"/>
      <c r="C233" s="14"/>
      <c r="D233" s="14"/>
      <c r="E233" s="1"/>
      <c r="F233" s="15"/>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ht="16.5" customHeight="1" x14ac:dyDescent="0.3">
      <c r="A234" s="14"/>
      <c r="B234" s="14"/>
      <c r="C234" s="14"/>
      <c r="D234" s="14"/>
      <c r="E234" s="1"/>
      <c r="F234" s="15"/>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ht="16.5" customHeight="1" x14ac:dyDescent="0.3">
      <c r="A235" s="14"/>
      <c r="B235" s="14"/>
      <c r="C235" s="14"/>
      <c r="D235" s="14"/>
      <c r="E235" s="1"/>
      <c r="F235" s="15"/>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ht="16.5" customHeight="1" x14ac:dyDescent="0.3">
      <c r="A236" s="14"/>
      <c r="B236" s="14"/>
      <c r="C236" s="14"/>
      <c r="D236" s="14"/>
      <c r="E236" s="1"/>
      <c r="F236" s="15"/>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ht="16.5" customHeight="1" x14ac:dyDescent="0.3">
      <c r="A237" s="14"/>
      <c r="B237" s="14"/>
      <c r="C237" s="14"/>
      <c r="D237" s="14"/>
      <c r="E237" s="1"/>
      <c r="F237" s="15"/>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ht="16.5" customHeight="1" x14ac:dyDescent="0.3">
      <c r="A238" s="14"/>
      <c r="B238" s="14"/>
      <c r="C238" s="14"/>
      <c r="D238" s="14"/>
      <c r="E238" s="1"/>
      <c r="F238" s="15"/>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ht="16.5" customHeight="1" x14ac:dyDescent="0.3">
      <c r="A239" s="14"/>
      <c r="B239" s="14"/>
      <c r="C239" s="14"/>
      <c r="D239" s="14"/>
      <c r="E239" s="1"/>
      <c r="F239" s="15"/>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ht="16.5" customHeight="1" x14ac:dyDescent="0.3">
      <c r="A240" s="14"/>
      <c r="B240" s="14"/>
      <c r="C240" s="14"/>
      <c r="D240" s="14"/>
      <c r="E240" s="1"/>
      <c r="F240" s="15"/>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ht="16.5" customHeight="1" x14ac:dyDescent="0.3">
      <c r="A241" s="14"/>
      <c r="B241" s="14"/>
      <c r="C241" s="14"/>
      <c r="D241" s="14"/>
      <c r="E241" s="1"/>
      <c r="F241" s="15"/>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ht="16.5" customHeight="1" x14ac:dyDescent="0.3">
      <c r="A242" s="14"/>
      <c r="B242" s="14"/>
      <c r="C242" s="14"/>
      <c r="D242" s="14"/>
      <c r="E242" s="1"/>
      <c r="F242" s="15"/>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ht="16.5" customHeight="1" x14ac:dyDescent="0.3">
      <c r="A243" s="14"/>
      <c r="B243" s="14"/>
      <c r="C243" s="14"/>
      <c r="D243" s="14"/>
      <c r="E243" s="1"/>
      <c r="F243" s="15"/>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ht="16.5" customHeight="1" x14ac:dyDescent="0.3">
      <c r="A244" s="14"/>
      <c r="B244" s="14"/>
      <c r="C244" s="14"/>
      <c r="D244" s="14"/>
      <c r="E244" s="1"/>
      <c r="F244" s="15"/>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ht="16.5" customHeight="1" x14ac:dyDescent="0.3">
      <c r="A245" s="14"/>
      <c r="B245" s="14"/>
      <c r="C245" s="14"/>
      <c r="D245" s="14"/>
      <c r="E245" s="1"/>
      <c r="F245" s="15"/>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ht="16.5" customHeight="1" x14ac:dyDescent="0.3">
      <c r="A246" s="14"/>
      <c r="B246" s="14"/>
      <c r="C246" s="14"/>
      <c r="D246" s="14"/>
      <c r="E246" s="1"/>
      <c r="F246" s="15"/>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ht="16.5" customHeight="1" x14ac:dyDescent="0.3">
      <c r="A247" s="14"/>
      <c r="B247" s="14"/>
      <c r="C247" s="14"/>
      <c r="D247" s="14"/>
      <c r="E247" s="1"/>
      <c r="F247" s="15"/>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ht="16.5" customHeight="1" x14ac:dyDescent="0.3">
      <c r="A248" s="14"/>
      <c r="B248" s="14"/>
      <c r="C248" s="14"/>
      <c r="D248" s="14"/>
      <c r="E248" s="1"/>
      <c r="F248" s="15"/>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row r="249" spans="1:56" ht="16.5" customHeight="1" x14ac:dyDescent="0.3">
      <c r="A249" s="14"/>
      <c r="B249" s="14"/>
      <c r="C249" s="14"/>
      <c r="D249" s="14"/>
      <c r="E249" s="1"/>
      <c r="F249" s="15"/>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row r="250" spans="1:56" ht="16.5" customHeight="1" x14ac:dyDescent="0.3">
      <c r="A250" s="14"/>
      <c r="B250" s="14"/>
      <c r="C250" s="14"/>
      <c r="D250" s="14"/>
      <c r="E250" s="1"/>
      <c r="F250" s="15"/>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row r="251" spans="1:56" ht="16.5" customHeight="1" x14ac:dyDescent="0.3">
      <c r="A251" s="14"/>
      <c r="B251" s="14"/>
      <c r="C251" s="14"/>
      <c r="D251" s="14"/>
      <c r="E251" s="1"/>
      <c r="F251" s="15"/>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row>
    <row r="252" spans="1:56" ht="16.5" customHeight="1" x14ac:dyDescent="0.3">
      <c r="A252" s="14"/>
      <c r="B252" s="14"/>
      <c r="C252" s="14"/>
      <c r="D252" s="14"/>
      <c r="E252" s="1"/>
      <c r="F252" s="15"/>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row>
    <row r="253" spans="1:56" ht="16.5" customHeight="1" x14ac:dyDescent="0.3">
      <c r="A253" s="14"/>
      <c r="B253" s="14"/>
      <c r="C253" s="14"/>
      <c r="D253" s="14"/>
      <c r="E253" s="1"/>
      <c r="F253" s="15"/>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row>
    <row r="254" spans="1:56" ht="16.5" customHeight="1" x14ac:dyDescent="0.3">
      <c r="A254" s="14"/>
      <c r="B254" s="14"/>
      <c r="C254" s="14"/>
      <c r="D254" s="14"/>
      <c r="E254" s="1"/>
      <c r="F254" s="15"/>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row>
    <row r="255" spans="1:56" ht="16.5" customHeight="1" x14ac:dyDescent="0.3">
      <c r="A255" s="14"/>
      <c r="B255" s="14"/>
      <c r="C255" s="14"/>
      <c r="D255" s="14"/>
      <c r="E255" s="1"/>
      <c r="F255" s="15"/>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row>
    <row r="256" spans="1:56" ht="16.5" customHeight="1" x14ac:dyDescent="0.3">
      <c r="A256" s="14"/>
      <c r="B256" s="14"/>
      <c r="C256" s="14"/>
      <c r="D256" s="14"/>
      <c r="E256" s="1"/>
      <c r="F256" s="15"/>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row>
    <row r="257" spans="1:56" ht="16.5" customHeight="1" x14ac:dyDescent="0.3">
      <c r="A257" s="14"/>
      <c r="B257" s="14"/>
      <c r="C257" s="14"/>
      <c r="D257" s="14"/>
      <c r="E257" s="1"/>
      <c r="F257" s="15"/>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row>
    <row r="258" spans="1:56" ht="16.5" customHeight="1" x14ac:dyDescent="0.3">
      <c r="A258" s="14"/>
      <c r="B258" s="14"/>
      <c r="C258" s="14"/>
      <c r="D258" s="14"/>
      <c r="E258" s="1"/>
      <c r="F258" s="15"/>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row>
    <row r="259" spans="1:56" ht="16.5" customHeight="1" x14ac:dyDescent="0.3">
      <c r="A259" s="14"/>
      <c r="B259" s="14"/>
      <c r="C259" s="14"/>
      <c r="D259" s="14"/>
      <c r="E259" s="1"/>
      <c r="F259" s="15"/>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row>
    <row r="260" spans="1:56" ht="16.5" customHeight="1" x14ac:dyDescent="0.3">
      <c r="A260" s="14"/>
      <c r="B260" s="14"/>
      <c r="C260" s="14"/>
      <c r="D260" s="14"/>
      <c r="E260" s="1"/>
      <c r="F260" s="15"/>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row>
    <row r="261" spans="1:56" ht="16.5" customHeight="1" x14ac:dyDescent="0.3">
      <c r="A261" s="14"/>
      <c r="B261" s="14"/>
      <c r="C261" s="14"/>
      <c r="D261" s="14"/>
      <c r="E261" s="1"/>
      <c r="F261" s="15"/>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row>
    <row r="262" spans="1:56" ht="16.5" customHeight="1" x14ac:dyDescent="0.3">
      <c r="A262" s="14"/>
      <c r="B262" s="14"/>
      <c r="C262" s="14"/>
      <c r="D262" s="14"/>
      <c r="E262" s="1"/>
      <c r="F262" s="15"/>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row>
    <row r="263" spans="1:56" ht="16.5" customHeight="1" x14ac:dyDescent="0.3">
      <c r="A263" s="14"/>
      <c r="B263" s="14"/>
      <c r="C263" s="14"/>
      <c r="D263" s="14"/>
      <c r="E263" s="1"/>
      <c r="F263" s="15"/>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row>
    <row r="264" spans="1:56" ht="16.5" customHeight="1" x14ac:dyDescent="0.3">
      <c r="A264" s="14"/>
      <c r="B264" s="14"/>
      <c r="C264" s="14"/>
      <c r="D264" s="14"/>
      <c r="E264" s="1"/>
      <c r="F264" s="15"/>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row>
    <row r="265" spans="1:56" ht="16.5" customHeight="1" x14ac:dyDescent="0.3">
      <c r="A265" s="14"/>
      <c r="B265" s="14"/>
      <c r="C265" s="14"/>
      <c r="D265" s="14"/>
      <c r="E265" s="1"/>
      <c r="F265" s="15"/>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row>
    <row r="266" spans="1:56" ht="16.5" customHeight="1" x14ac:dyDescent="0.3">
      <c r="A266" s="14"/>
      <c r="B266" s="14"/>
      <c r="C266" s="14"/>
      <c r="D266" s="14"/>
      <c r="E266" s="1"/>
      <c r="F266" s="15"/>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row>
    <row r="267" spans="1:56" ht="16.5" customHeight="1" x14ac:dyDescent="0.3">
      <c r="A267" s="14"/>
      <c r="B267" s="14"/>
      <c r="C267" s="14"/>
      <c r="D267" s="14"/>
      <c r="E267" s="1"/>
      <c r="F267" s="15"/>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row>
    <row r="268" spans="1:56" ht="16.5" customHeight="1" x14ac:dyDescent="0.3">
      <c r="A268" s="14"/>
      <c r="B268" s="14"/>
      <c r="C268" s="14"/>
      <c r="D268" s="14"/>
      <c r="E268" s="1"/>
      <c r="F268" s="15"/>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row>
    <row r="269" spans="1:56" ht="16.5" customHeight="1" x14ac:dyDescent="0.3">
      <c r="A269" s="14"/>
      <c r="B269" s="14"/>
      <c r="C269" s="14"/>
      <c r="D269" s="14"/>
      <c r="E269" s="1"/>
      <c r="F269" s="15"/>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row>
    <row r="270" spans="1:56" ht="16.5" customHeight="1" x14ac:dyDescent="0.3">
      <c r="A270" s="14"/>
      <c r="B270" s="14"/>
      <c r="C270" s="14"/>
      <c r="D270" s="14"/>
      <c r="E270" s="1"/>
      <c r="F270" s="15"/>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row>
    <row r="271" spans="1:56" ht="16.5" customHeight="1" x14ac:dyDescent="0.3">
      <c r="A271" s="14"/>
      <c r="B271" s="14"/>
      <c r="C271" s="14"/>
      <c r="D271" s="14"/>
      <c r="E271" s="1"/>
      <c r="F271" s="15"/>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row>
    <row r="272" spans="1:56" ht="16.5" customHeight="1" x14ac:dyDescent="0.3">
      <c r="A272" s="14"/>
      <c r="B272" s="14"/>
      <c r="C272" s="14"/>
      <c r="D272" s="14"/>
      <c r="E272" s="1"/>
      <c r="F272" s="15"/>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row>
    <row r="273" spans="1:56" ht="16.5" customHeight="1" x14ac:dyDescent="0.3">
      <c r="A273" s="14"/>
      <c r="B273" s="14"/>
      <c r="C273" s="14"/>
      <c r="D273" s="14"/>
      <c r="E273" s="1"/>
      <c r="F273" s="15"/>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row>
    <row r="274" spans="1:56" ht="16.5" customHeight="1" x14ac:dyDescent="0.3">
      <c r="A274" s="14"/>
      <c r="B274" s="14"/>
      <c r="C274" s="14"/>
      <c r="D274" s="14"/>
      <c r="E274" s="1"/>
      <c r="F274" s="15"/>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row>
    <row r="275" spans="1:56" ht="16.5" customHeight="1" x14ac:dyDescent="0.3">
      <c r="A275" s="14"/>
      <c r="B275" s="14"/>
      <c r="C275" s="14"/>
      <c r="D275" s="14"/>
      <c r="E275" s="1"/>
      <c r="F275" s="15"/>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row>
    <row r="276" spans="1:56" ht="16.5" customHeight="1" x14ac:dyDescent="0.3">
      <c r="A276" s="14"/>
      <c r="B276" s="14"/>
      <c r="C276" s="14"/>
      <c r="D276" s="14"/>
      <c r="E276" s="1"/>
      <c r="F276" s="15"/>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row>
    <row r="277" spans="1:56" ht="16.5" customHeight="1" x14ac:dyDescent="0.3">
      <c r="A277" s="14"/>
      <c r="B277" s="14"/>
      <c r="C277" s="14"/>
      <c r="D277" s="14"/>
      <c r="E277" s="1"/>
      <c r="F277" s="15"/>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row>
    <row r="278" spans="1:56" ht="16.5" customHeight="1" x14ac:dyDescent="0.3">
      <c r="A278" s="14"/>
      <c r="B278" s="14"/>
      <c r="C278" s="14"/>
      <c r="D278" s="14"/>
      <c r="E278" s="1"/>
      <c r="F278" s="15"/>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row>
    <row r="279" spans="1:56" ht="16.5" customHeight="1" x14ac:dyDescent="0.3">
      <c r="A279" s="14"/>
      <c r="B279" s="14"/>
      <c r="C279" s="14"/>
      <c r="D279" s="14"/>
      <c r="E279" s="1"/>
      <c r="F279" s="15"/>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row>
    <row r="280" spans="1:56" ht="16.5" customHeight="1" x14ac:dyDescent="0.3">
      <c r="A280" s="14"/>
      <c r="B280" s="14"/>
      <c r="C280" s="14"/>
      <c r="D280" s="14"/>
      <c r="E280" s="1"/>
      <c r="F280" s="15"/>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row>
    <row r="281" spans="1:56" ht="16.5" customHeight="1" x14ac:dyDescent="0.3">
      <c r="A281" s="14"/>
      <c r="B281" s="14"/>
      <c r="C281" s="14"/>
      <c r="D281" s="14"/>
      <c r="E281" s="1"/>
      <c r="F281" s="15"/>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row>
    <row r="282" spans="1:56" ht="16.5" customHeight="1" x14ac:dyDescent="0.3">
      <c r="A282" s="14"/>
      <c r="B282" s="14"/>
      <c r="C282" s="14"/>
      <c r="D282" s="14"/>
      <c r="E282" s="1"/>
      <c r="F282" s="15"/>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row>
    <row r="283" spans="1:56" ht="16.5" customHeight="1" x14ac:dyDescent="0.3">
      <c r="A283" s="14"/>
      <c r="B283" s="14"/>
      <c r="C283" s="14"/>
      <c r="D283" s="14"/>
      <c r="E283" s="1"/>
      <c r="F283" s="15"/>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row>
    <row r="284" spans="1:56" ht="16.5" customHeight="1" x14ac:dyDescent="0.3">
      <c r="A284" s="14"/>
      <c r="B284" s="14"/>
      <c r="C284" s="14"/>
      <c r="D284" s="14"/>
      <c r="E284" s="1"/>
      <c r="F284" s="15"/>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row>
    <row r="285" spans="1:56" ht="16.5" customHeight="1" x14ac:dyDescent="0.3">
      <c r="A285" s="14"/>
      <c r="B285" s="14"/>
      <c r="C285" s="14"/>
      <c r="D285" s="14"/>
      <c r="E285" s="1"/>
      <c r="F285" s="15"/>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row>
    <row r="286" spans="1:56" ht="16.5" customHeight="1" x14ac:dyDescent="0.3">
      <c r="A286" s="14"/>
      <c r="B286" s="14"/>
      <c r="C286" s="14"/>
      <c r="D286" s="14"/>
      <c r="E286" s="1"/>
      <c r="F286" s="15"/>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row>
    <row r="287" spans="1:56" ht="16.5" customHeight="1" x14ac:dyDescent="0.3">
      <c r="A287" s="14"/>
      <c r="B287" s="14"/>
      <c r="C287" s="14"/>
      <c r="D287" s="14"/>
      <c r="E287" s="1"/>
      <c r="F287" s="15"/>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row>
    <row r="288" spans="1:56" ht="16.5" customHeight="1" x14ac:dyDescent="0.3">
      <c r="A288" s="14"/>
      <c r="B288" s="14"/>
      <c r="C288" s="14"/>
      <c r="D288" s="14"/>
      <c r="E288" s="1"/>
      <c r="F288" s="15"/>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row>
    <row r="289" spans="1:56" ht="16.5" customHeight="1" x14ac:dyDescent="0.3">
      <c r="A289" s="14"/>
      <c r="B289" s="14"/>
      <c r="C289" s="14"/>
      <c r="D289" s="14"/>
      <c r="E289" s="1"/>
      <c r="F289" s="15"/>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row>
    <row r="290" spans="1:56" ht="16.5" customHeight="1" x14ac:dyDescent="0.3">
      <c r="A290" s="14"/>
      <c r="B290" s="14"/>
      <c r="C290" s="14"/>
      <c r="D290" s="14"/>
      <c r="E290" s="1"/>
      <c r="F290" s="15"/>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row>
    <row r="291" spans="1:56" ht="16.5" customHeight="1" x14ac:dyDescent="0.3">
      <c r="A291" s="14"/>
      <c r="B291" s="14"/>
      <c r="C291" s="14"/>
      <c r="D291" s="14"/>
      <c r="E291" s="1"/>
      <c r="F291" s="15"/>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row>
    <row r="292" spans="1:56" ht="16.5" customHeight="1" x14ac:dyDescent="0.3">
      <c r="A292" s="14"/>
      <c r="B292" s="14"/>
      <c r="C292" s="14"/>
      <c r="D292" s="14"/>
      <c r="E292" s="1"/>
      <c r="F292" s="15"/>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row>
    <row r="293" spans="1:56" ht="16.5" customHeight="1" x14ac:dyDescent="0.3">
      <c r="A293" s="14"/>
      <c r="B293" s="14"/>
      <c r="C293" s="14"/>
      <c r="D293" s="14"/>
      <c r="E293" s="1"/>
      <c r="F293" s="15"/>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row>
    <row r="294" spans="1:56" ht="16.5" customHeight="1" x14ac:dyDescent="0.3">
      <c r="A294" s="14"/>
      <c r="B294" s="14"/>
      <c r="C294" s="14"/>
      <c r="D294" s="14"/>
      <c r="E294" s="1"/>
      <c r="F294" s="15"/>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row>
    <row r="295" spans="1:56" ht="16.5" customHeight="1" x14ac:dyDescent="0.3">
      <c r="A295" s="14"/>
      <c r="B295" s="14"/>
      <c r="C295" s="14"/>
      <c r="D295" s="14"/>
      <c r="E295" s="1"/>
      <c r="F295" s="15"/>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row>
    <row r="296" spans="1:56" ht="16.5" customHeight="1" x14ac:dyDescent="0.3">
      <c r="A296" s="14"/>
      <c r="B296" s="14"/>
      <c r="C296" s="14"/>
      <c r="D296" s="14"/>
      <c r="E296" s="1"/>
      <c r="F296" s="15"/>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row>
    <row r="297" spans="1:56" ht="16.5" customHeight="1" x14ac:dyDescent="0.3">
      <c r="A297" s="14"/>
      <c r="B297" s="14"/>
      <c r="C297" s="14"/>
      <c r="D297" s="14"/>
      <c r="E297" s="1"/>
      <c r="F297" s="15"/>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row>
    <row r="298" spans="1:56" ht="16.5" customHeight="1" x14ac:dyDescent="0.3">
      <c r="A298" s="14"/>
      <c r="B298" s="14"/>
      <c r="C298" s="14"/>
      <c r="D298" s="14"/>
      <c r="E298" s="1"/>
      <c r="F298" s="15"/>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row>
    <row r="299" spans="1:56" ht="16.5" customHeight="1" x14ac:dyDescent="0.3">
      <c r="A299" s="14"/>
      <c r="B299" s="14"/>
      <c r="C299" s="14"/>
      <c r="D299" s="14"/>
      <c r="E299" s="1"/>
      <c r="F299" s="15"/>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row>
    <row r="300" spans="1:56" ht="16.5" customHeight="1" x14ac:dyDescent="0.3">
      <c r="A300" s="14"/>
      <c r="B300" s="14"/>
      <c r="C300" s="14"/>
      <c r="D300" s="14"/>
      <c r="E300" s="1"/>
      <c r="F300" s="15"/>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row>
    <row r="301" spans="1:56" ht="16.5" customHeight="1" x14ac:dyDescent="0.3">
      <c r="A301" s="14"/>
      <c r="B301" s="14"/>
      <c r="C301" s="14"/>
      <c r="D301" s="14"/>
      <c r="E301" s="1"/>
      <c r="F301" s="15"/>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row>
    <row r="302" spans="1:56" ht="16.5" customHeight="1" x14ac:dyDescent="0.3">
      <c r="A302" s="14"/>
      <c r="B302" s="14"/>
      <c r="C302" s="14"/>
      <c r="D302" s="14"/>
      <c r="E302" s="1"/>
      <c r="F302" s="15"/>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row>
    <row r="303" spans="1:56" ht="16.5" customHeight="1" x14ac:dyDescent="0.3">
      <c r="A303" s="14"/>
      <c r="B303" s="14"/>
      <c r="C303" s="14"/>
      <c r="D303" s="14"/>
      <c r="E303" s="1"/>
      <c r="F303" s="15"/>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row>
    <row r="304" spans="1:56" ht="16.5" customHeight="1" x14ac:dyDescent="0.3">
      <c r="A304" s="14"/>
      <c r="B304" s="14"/>
      <c r="C304" s="14"/>
      <c r="D304" s="14"/>
      <c r="E304" s="1"/>
      <c r="F304" s="15"/>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row>
    <row r="305" spans="1:56" ht="16.5" customHeight="1" x14ac:dyDescent="0.3">
      <c r="A305" s="14"/>
      <c r="B305" s="14"/>
      <c r="C305" s="14"/>
      <c r="D305" s="14"/>
      <c r="E305" s="1"/>
      <c r="F305" s="15"/>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row>
    <row r="306" spans="1:56" ht="16.5" customHeight="1" x14ac:dyDescent="0.3">
      <c r="A306" s="14"/>
      <c r="B306" s="14"/>
      <c r="C306" s="14"/>
      <c r="D306" s="14"/>
      <c r="E306" s="1"/>
      <c r="F306" s="15"/>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row>
    <row r="307" spans="1:56" ht="16.5" customHeight="1" x14ac:dyDescent="0.3">
      <c r="A307" s="14"/>
      <c r="B307" s="14"/>
      <c r="C307" s="14"/>
      <c r="D307" s="14"/>
      <c r="E307" s="1"/>
      <c r="F307" s="15"/>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row>
    <row r="308" spans="1:56" ht="16.5" customHeight="1" x14ac:dyDescent="0.3">
      <c r="A308" s="14"/>
      <c r="B308" s="14"/>
      <c r="C308" s="14"/>
      <c r="D308" s="14"/>
      <c r="E308" s="1"/>
      <c r="F308" s="15"/>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row>
    <row r="309" spans="1:56" ht="16.5" customHeight="1" x14ac:dyDescent="0.3">
      <c r="A309" s="14"/>
      <c r="B309" s="14"/>
      <c r="C309" s="14"/>
      <c r="D309" s="14"/>
      <c r="E309" s="1"/>
      <c r="F309" s="15"/>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row>
    <row r="310" spans="1:56" ht="16.5" customHeight="1" x14ac:dyDescent="0.3">
      <c r="A310" s="14"/>
      <c r="B310" s="14"/>
      <c r="C310" s="14"/>
      <c r="D310" s="14"/>
      <c r="E310" s="1"/>
      <c r="F310" s="15"/>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row>
    <row r="311" spans="1:56" ht="16.5" customHeight="1" x14ac:dyDescent="0.3">
      <c r="A311" s="14"/>
      <c r="B311" s="14"/>
      <c r="C311" s="14"/>
      <c r="D311" s="14"/>
      <c r="E311" s="1"/>
      <c r="F311" s="15"/>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row>
    <row r="312" spans="1:56" ht="16.5" customHeight="1" x14ac:dyDescent="0.3">
      <c r="A312" s="14"/>
      <c r="B312" s="14"/>
      <c r="C312" s="14"/>
      <c r="D312" s="14"/>
      <c r="E312" s="1"/>
      <c r="F312" s="15"/>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row>
    <row r="313" spans="1:56" ht="16.5" customHeight="1" x14ac:dyDescent="0.3">
      <c r="A313" s="14"/>
      <c r="B313" s="14"/>
      <c r="C313" s="14"/>
      <c r="D313" s="14"/>
      <c r="E313" s="1"/>
      <c r="F313" s="15"/>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row>
    <row r="314" spans="1:56" ht="16.5" customHeight="1" x14ac:dyDescent="0.3">
      <c r="A314" s="14"/>
      <c r="B314" s="14"/>
      <c r="C314" s="14"/>
      <c r="D314" s="14"/>
      <c r="E314" s="1"/>
      <c r="F314" s="15"/>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row>
    <row r="315" spans="1:56" ht="16.5" customHeight="1" x14ac:dyDescent="0.3">
      <c r="A315" s="14"/>
      <c r="B315" s="14"/>
      <c r="C315" s="14"/>
      <c r="D315" s="14"/>
      <c r="E315" s="1"/>
      <c r="F315" s="15"/>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row>
    <row r="316" spans="1:56" ht="16.5" customHeight="1" x14ac:dyDescent="0.3">
      <c r="A316" s="14"/>
      <c r="B316" s="14"/>
      <c r="C316" s="14"/>
      <c r="D316" s="14"/>
      <c r="E316" s="1"/>
      <c r="F316" s="15"/>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row>
    <row r="317" spans="1:56" ht="16.5" customHeight="1" x14ac:dyDescent="0.3">
      <c r="A317" s="14"/>
      <c r="B317" s="14"/>
      <c r="C317" s="14"/>
      <c r="D317" s="14"/>
      <c r="E317" s="1"/>
      <c r="F317" s="15"/>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row>
    <row r="318" spans="1:56" ht="16.5" customHeight="1" x14ac:dyDescent="0.3">
      <c r="A318" s="14"/>
      <c r="B318" s="14"/>
      <c r="C318" s="14"/>
      <c r="D318" s="14"/>
      <c r="E318" s="1"/>
      <c r="F318" s="15"/>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row>
    <row r="319" spans="1:56" ht="16.5" customHeight="1" x14ac:dyDescent="0.3">
      <c r="A319" s="14"/>
      <c r="B319" s="14"/>
      <c r="C319" s="14"/>
      <c r="D319" s="14"/>
      <c r="E319" s="1"/>
      <c r="F319" s="15"/>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row>
    <row r="320" spans="1:56" ht="16.5" customHeight="1" x14ac:dyDescent="0.3">
      <c r="A320" s="14"/>
      <c r="B320" s="14"/>
      <c r="C320" s="14"/>
      <c r="D320" s="14"/>
      <c r="E320" s="1"/>
      <c r="F320" s="15"/>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row>
    <row r="321" spans="1:56" ht="16.5" customHeight="1" x14ac:dyDescent="0.3">
      <c r="A321" s="14"/>
      <c r="B321" s="14"/>
      <c r="C321" s="14"/>
      <c r="D321" s="14"/>
      <c r="E321" s="1"/>
      <c r="F321" s="15"/>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row>
    <row r="322" spans="1:56" ht="16.5" customHeight="1" x14ac:dyDescent="0.3">
      <c r="A322" s="14"/>
      <c r="B322" s="14"/>
      <c r="C322" s="14"/>
      <c r="D322" s="14"/>
      <c r="E322" s="1"/>
      <c r="F322" s="15"/>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row>
    <row r="323" spans="1:56" ht="16.5" customHeight="1" x14ac:dyDescent="0.3">
      <c r="A323" s="14"/>
      <c r="B323" s="14"/>
      <c r="C323" s="14"/>
      <c r="D323" s="14"/>
      <c r="E323" s="1"/>
      <c r="F323" s="15"/>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row>
    <row r="324" spans="1:56" ht="16.5" customHeight="1" x14ac:dyDescent="0.3">
      <c r="A324" s="14"/>
      <c r="B324" s="14"/>
      <c r="C324" s="14"/>
      <c r="D324" s="14"/>
      <c r="E324" s="1"/>
      <c r="F324" s="15"/>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row>
    <row r="325" spans="1:56" ht="16.5" customHeight="1" x14ac:dyDescent="0.3">
      <c r="A325" s="14"/>
      <c r="B325" s="14"/>
      <c r="C325" s="14"/>
      <c r="D325" s="14"/>
      <c r="E325" s="1"/>
      <c r="F325" s="15"/>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row>
    <row r="326" spans="1:56" ht="16.5" customHeight="1" x14ac:dyDescent="0.3">
      <c r="A326" s="14"/>
      <c r="B326" s="14"/>
      <c r="C326" s="14"/>
      <c r="D326" s="14"/>
      <c r="E326" s="1"/>
      <c r="F326" s="15"/>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row>
    <row r="327" spans="1:56" ht="16.5" customHeight="1" x14ac:dyDescent="0.3">
      <c r="A327" s="14"/>
      <c r="B327" s="14"/>
      <c r="C327" s="14"/>
      <c r="D327" s="14"/>
      <c r="E327" s="1"/>
      <c r="F327" s="15"/>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row>
    <row r="328" spans="1:56" ht="16.5" customHeight="1" x14ac:dyDescent="0.3">
      <c r="A328" s="14"/>
      <c r="B328" s="14"/>
      <c r="C328" s="14"/>
      <c r="D328" s="14"/>
      <c r="E328" s="1"/>
      <c r="F328" s="15"/>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row>
    <row r="329" spans="1:56" ht="16.5" customHeight="1" x14ac:dyDescent="0.3">
      <c r="A329" s="14"/>
      <c r="B329" s="14"/>
      <c r="C329" s="14"/>
      <c r="D329" s="14"/>
      <c r="E329" s="1"/>
      <c r="F329" s="15"/>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row>
    <row r="330" spans="1:56" ht="16.5" customHeight="1" x14ac:dyDescent="0.3">
      <c r="A330" s="14"/>
      <c r="B330" s="14"/>
      <c r="C330" s="14"/>
      <c r="D330" s="14"/>
      <c r="E330" s="1"/>
      <c r="F330" s="15"/>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row>
    <row r="331" spans="1:56" ht="16.5" customHeight="1" x14ac:dyDescent="0.3">
      <c r="A331" s="14"/>
      <c r="B331" s="14"/>
      <c r="C331" s="14"/>
      <c r="D331" s="14"/>
      <c r="E331" s="1"/>
      <c r="F331" s="15"/>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row>
    <row r="332" spans="1:56" ht="16.5" customHeight="1" x14ac:dyDescent="0.3">
      <c r="A332" s="14"/>
      <c r="B332" s="14"/>
      <c r="C332" s="14"/>
      <c r="D332" s="14"/>
      <c r="E332" s="1"/>
      <c r="F332" s="15"/>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row>
    <row r="333" spans="1:56" ht="16.5" customHeight="1" x14ac:dyDescent="0.3">
      <c r="A333" s="14"/>
      <c r="B333" s="14"/>
      <c r="C333" s="14"/>
      <c r="D333" s="14"/>
      <c r="E333" s="1"/>
      <c r="F333" s="15"/>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row>
    <row r="334" spans="1:56" ht="16.5" customHeight="1" x14ac:dyDescent="0.3">
      <c r="A334" s="14"/>
      <c r="B334" s="14"/>
      <c r="C334" s="14"/>
      <c r="D334" s="14"/>
      <c r="E334" s="1"/>
      <c r="F334" s="15"/>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row>
    <row r="335" spans="1:56" ht="16.5" customHeight="1" x14ac:dyDescent="0.3">
      <c r="A335" s="14"/>
      <c r="B335" s="14"/>
      <c r="C335" s="14"/>
      <c r="D335" s="14"/>
      <c r="E335" s="1"/>
      <c r="F335" s="15"/>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row>
    <row r="336" spans="1:56" ht="16.5" customHeight="1" x14ac:dyDescent="0.3">
      <c r="A336" s="14"/>
      <c r="B336" s="14"/>
      <c r="C336" s="14"/>
      <c r="D336" s="14"/>
      <c r="E336" s="1"/>
      <c r="F336" s="15"/>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row>
    <row r="337" spans="1:56" ht="16.5" customHeight="1" x14ac:dyDescent="0.3">
      <c r="A337" s="14"/>
      <c r="B337" s="14"/>
      <c r="C337" s="14"/>
      <c r="D337" s="14"/>
      <c r="E337" s="1"/>
      <c r="F337" s="15"/>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row>
    <row r="338" spans="1:56" ht="16.5" customHeight="1" x14ac:dyDescent="0.3">
      <c r="A338" s="14"/>
      <c r="B338" s="14"/>
      <c r="C338" s="14"/>
      <c r="D338" s="14"/>
      <c r="E338" s="1"/>
      <c r="F338" s="15"/>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row>
    <row r="339" spans="1:56" ht="16.5" customHeight="1" x14ac:dyDescent="0.3">
      <c r="A339" s="14"/>
      <c r="B339" s="14"/>
      <c r="C339" s="14"/>
      <c r="D339" s="14"/>
      <c r="E339" s="1"/>
      <c r="F339" s="15"/>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row>
    <row r="340" spans="1:56" ht="16.5" customHeight="1" x14ac:dyDescent="0.3">
      <c r="A340" s="14"/>
      <c r="B340" s="14"/>
      <c r="C340" s="14"/>
      <c r="D340" s="14"/>
      <c r="E340" s="1"/>
      <c r="F340" s="15"/>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row>
    <row r="341" spans="1:56" ht="16.5" customHeight="1" x14ac:dyDescent="0.3">
      <c r="A341" s="14"/>
      <c r="B341" s="14"/>
      <c r="C341" s="14"/>
      <c r="D341" s="14"/>
      <c r="E341" s="1"/>
      <c r="F341" s="15"/>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row>
    <row r="342" spans="1:56" ht="16.5" customHeight="1" x14ac:dyDescent="0.3">
      <c r="A342" s="14"/>
      <c r="B342" s="14"/>
      <c r="C342" s="14"/>
      <c r="D342" s="14"/>
      <c r="E342" s="1"/>
      <c r="F342" s="15"/>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row>
    <row r="343" spans="1:56" ht="16.5" customHeight="1" x14ac:dyDescent="0.3">
      <c r="A343" s="14"/>
      <c r="B343" s="14"/>
      <c r="C343" s="14"/>
      <c r="D343" s="14"/>
      <c r="E343" s="1"/>
      <c r="F343" s="15"/>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row>
    <row r="344" spans="1:56" ht="16.5" customHeight="1" x14ac:dyDescent="0.3">
      <c r="A344" s="14"/>
      <c r="B344" s="14"/>
      <c r="C344" s="14"/>
      <c r="D344" s="14"/>
      <c r="E344" s="1"/>
      <c r="F344" s="15"/>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row>
    <row r="345" spans="1:56" ht="16.5" customHeight="1" x14ac:dyDescent="0.3">
      <c r="A345" s="14"/>
      <c r="B345" s="14"/>
      <c r="C345" s="14"/>
      <c r="D345" s="14"/>
      <c r="E345" s="1"/>
      <c r="F345" s="15"/>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row>
    <row r="346" spans="1:56" ht="16.5" customHeight="1" x14ac:dyDescent="0.3">
      <c r="A346" s="14"/>
      <c r="B346" s="14"/>
      <c r="C346" s="14"/>
      <c r="D346" s="14"/>
      <c r="E346" s="1"/>
      <c r="F346" s="15"/>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row>
    <row r="347" spans="1:56" ht="16.5" customHeight="1" x14ac:dyDescent="0.3">
      <c r="A347" s="14"/>
      <c r="B347" s="14"/>
      <c r="C347" s="14"/>
      <c r="D347" s="14"/>
      <c r="E347" s="1"/>
      <c r="F347" s="15"/>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row>
    <row r="348" spans="1:56" ht="16.5" customHeight="1" x14ac:dyDescent="0.3">
      <c r="A348" s="14"/>
      <c r="B348" s="14"/>
      <c r="C348" s="14"/>
      <c r="D348" s="14"/>
      <c r="E348" s="1"/>
      <c r="F348" s="15"/>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row>
    <row r="349" spans="1:56" ht="16.5" customHeight="1" x14ac:dyDescent="0.3">
      <c r="A349" s="14"/>
      <c r="B349" s="14"/>
      <c r="C349" s="14"/>
      <c r="D349" s="14"/>
      <c r="E349" s="1"/>
      <c r="F349" s="15"/>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row>
    <row r="350" spans="1:56" ht="16.5" customHeight="1" x14ac:dyDescent="0.3">
      <c r="A350" s="14"/>
      <c r="B350" s="14"/>
      <c r="C350" s="14"/>
      <c r="D350" s="14"/>
      <c r="E350" s="1"/>
      <c r="F350" s="15"/>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row>
    <row r="351" spans="1:56" ht="16.5" customHeight="1" x14ac:dyDescent="0.3">
      <c r="A351" s="14"/>
      <c r="B351" s="14"/>
      <c r="C351" s="14"/>
      <c r="D351" s="14"/>
      <c r="E351" s="1"/>
      <c r="F351" s="15"/>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row>
    <row r="352" spans="1:56" ht="16.5" customHeight="1" x14ac:dyDescent="0.3">
      <c r="A352" s="14"/>
      <c r="B352" s="14"/>
      <c r="C352" s="14"/>
      <c r="D352" s="14"/>
      <c r="E352" s="1"/>
      <c r="F352" s="15"/>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row>
    <row r="353" spans="1:56" ht="16.5" customHeight="1" x14ac:dyDescent="0.3">
      <c r="A353" s="14"/>
      <c r="B353" s="14"/>
      <c r="C353" s="14"/>
      <c r="D353" s="14"/>
      <c r="E353" s="1"/>
      <c r="F353" s="15"/>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row>
    <row r="354" spans="1:56" ht="16.5" customHeight="1" x14ac:dyDescent="0.3">
      <c r="A354" s="14"/>
      <c r="B354" s="14"/>
      <c r="C354" s="14"/>
      <c r="D354" s="14"/>
      <c r="E354" s="1"/>
      <c r="F354" s="15"/>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row>
    <row r="355" spans="1:56" ht="16.5" customHeight="1" x14ac:dyDescent="0.3">
      <c r="A355" s="14"/>
      <c r="B355" s="14"/>
      <c r="C355" s="14"/>
      <c r="D355" s="14"/>
      <c r="E355" s="1"/>
      <c r="F355" s="15"/>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row>
    <row r="356" spans="1:56" ht="16.5" customHeight="1" x14ac:dyDescent="0.3">
      <c r="A356" s="14"/>
      <c r="B356" s="14"/>
      <c r="C356" s="14"/>
      <c r="D356" s="14"/>
      <c r="E356" s="1"/>
      <c r="F356" s="15"/>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row>
    <row r="357" spans="1:56" ht="16.5" customHeight="1" x14ac:dyDescent="0.3">
      <c r="A357" s="14"/>
      <c r="B357" s="14"/>
      <c r="C357" s="14"/>
      <c r="D357" s="14"/>
      <c r="E357" s="1"/>
      <c r="F357" s="15"/>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row>
    <row r="358" spans="1:56" ht="16.5" customHeight="1" x14ac:dyDescent="0.3">
      <c r="A358" s="14"/>
      <c r="B358" s="14"/>
      <c r="C358" s="14"/>
      <c r="D358" s="14"/>
      <c r="E358" s="1"/>
      <c r="F358" s="15"/>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row>
    <row r="359" spans="1:56" ht="16.5" customHeight="1" x14ac:dyDescent="0.3">
      <c r="A359" s="14"/>
      <c r="B359" s="14"/>
      <c r="C359" s="14"/>
      <c r="D359" s="14"/>
      <c r="E359" s="1"/>
      <c r="F359" s="15"/>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row>
    <row r="360" spans="1:56" ht="16.5" customHeight="1" x14ac:dyDescent="0.3">
      <c r="A360" s="14"/>
      <c r="B360" s="14"/>
      <c r="C360" s="14"/>
      <c r="D360" s="14"/>
      <c r="E360" s="1"/>
      <c r="F360" s="15"/>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row>
    <row r="361" spans="1:56" ht="16.5" customHeight="1" x14ac:dyDescent="0.3">
      <c r="A361" s="14"/>
      <c r="B361" s="14"/>
      <c r="C361" s="14"/>
      <c r="D361" s="14"/>
      <c r="E361" s="1"/>
      <c r="F361" s="15"/>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row>
    <row r="362" spans="1:56" ht="16.5" customHeight="1" x14ac:dyDescent="0.3">
      <c r="A362" s="14"/>
      <c r="B362" s="14"/>
      <c r="C362" s="14"/>
      <c r="D362" s="14"/>
      <c r="E362" s="1"/>
      <c r="F362" s="15"/>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row>
    <row r="363" spans="1:56" ht="16.5" customHeight="1" x14ac:dyDescent="0.3">
      <c r="A363" s="14"/>
      <c r="B363" s="14"/>
      <c r="C363" s="14"/>
      <c r="D363" s="14"/>
      <c r="E363" s="1"/>
      <c r="F363" s="15"/>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row>
    <row r="364" spans="1:56" ht="16.5" customHeight="1" x14ac:dyDescent="0.3">
      <c r="A364" s="14"/>
      <c r="B364" s="14"/>
      <c r="C364" s="14"/>
      <c r="D364" s="14"/>
      <c r="E364" s="1"/>
      <c r="F364" s="15"/>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row>
    <row r="365" spans="1:56" ht="16.5" customHeight="1" x14ac:dyDescent="0.3">
      <c r="A365" s="14"/>
      <c r="B365" s="14"/>
      <c r="C365" s="14"/>
      <c r="D365" s="14"/>
      <c r="E365" s="1"/>
      <c r="F365" s="15"/>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row>
    <row r="366" spans="1:56" ht="16.5" customHeight="1" x14ac:dyDescent="0.3">
      <c r="A366" s="14"/>
      <c r="B366" s="14"/>
      <c r="C366" s="14"/>
      <c r="D366" s="14"/>
      <c r="E366" s="1"/>
      <c r="F366" s="15"/>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row>
    <row r="367" spans="1:56" ht="16.5" customHeight="1" x14ac:dyDescent="0.3">
      <c r="A367" s="14"/>
      <c r="B367" s="14"/>
      <c r="C367" s="14"/>
      <c r="D367" s="14"/>
      <c r="E367" s="1"/>
      <c r="F367" s="15"/>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row>
    <row r="368" spans="1:56" ht="16.5" customHeight="1" x14ac:dyDescent="0.3">
      <c r="A368" s="14"/>
      <c r="B368" s="14"/>
      <c r="C368" s="14"/>
      <c r="D368" s="14"/>
      <c r="E368" s="1"/>
      <c r="F368" s="15"/>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row>
    <row r="369" spans="1:56" ht="16.5" customHeight="1" x14ac:dyDescent="0.3">
      <c r="A369" s="14"/>
      <c r="B369" s="14"/>
      <c r="C369" s="14"/>
      <c r="D369" s="14"/>
      <c r="E369" s="1"/>
      <c r="F369" s="15"/>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row>
    <row r="370" spans="1:56" ht="16.5" customHeight="1" x14ac:dyDescent="0.3">
      <c r="A370" s="14"/>
      <c r="B370" s="14"/>
      <c r="C370" s="14"/>
      <c r="D370" s="14"/>
      <c r="E370" s="1"/>
      <c r="F370" s="15"/>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row>
    <row r="371" spans="1:56" ht="16.5" customHeight="1" x14ac:dyDescent="0.3">
      <c r="A371" s="14"/>
      <c r="B371" s="14"/>
      <c r="C371" s="14"/>
      <c r="D371" s="14"/>
      <c r="E371" s="1"/>
      <c r="F371" s="15"/>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row>
    <row r="372" spans="1:56" ht="16.5" customHeight="1" x14ac:dyDescent="0.3">
      <c r="A372" s="14"/>
      <c r="B372" s="14"/>
      <c r="C372" s="14"/>
      <c r="D372" s="14"/>
      <c r="E372" s="1"/>
      <c r="F372" s="15"/>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row>
    <row r="373" spans="1:56" ht="16.5" customHeight="1" x14ac:dyDescent="0.3">
      <c r="A373" s="14"/>
      <c r="B373" s="14"/>
      <c r="C373" s="14"/>
      <c r="D373" s="14"/>
      <c r="E373" s="1"/>
      <c r="F373" s="15"/>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row>
    <row r="374" spans="1:56" ht="16.5" customHeight="1" x14ac:dyDescent="0.3">
      <c r="A374" s="14"/>
      <c r="B374" s="14"/>
      <c r="C374" s="14"/>
      <c r="D374" s="14"/>
      <c r="E374" s="1"/>
      <c r="F374" s="15"/>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row>
    <row r="375" spans="1:56" ht="16.5" customHeight="1" x14ac:dyDescent="0.3">
      <c r="A375" s="14"/>
      <c r="B375" s="14"/>
      <c r="C375" s="14"/>
      <c r="D375" s="14"/>
      <c r="E375" s="1"/>
      <c r="F375" s="15"/>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row>
    <row r="376" spans="1:56" ht="16.5" customHeight="1" x14ac:dyDescent="0.3">
      <c r="A376" s="14"/>
      <c r="B376" s="14"/>
      <c r="C376" s="14"/>
      <c r="D376" s="14"/>
      <c r="E376" s="1"/>
      <c r="F376" s="15"/>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row>
    <row r="377" spans="1:56" ht="16.5" customHeight="1" x14ac:dyDescent="0.3">
      <c r="A377" s="14"/>
      <c r="B377" s="14"/>
      <c r="C377" s="14"/>
      <c r="D377" s="14"/>
      <c r="E377" s="1"/>
      <c r="F377" s="15"/>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row>
    <row r="378" spans="1:56" ht="16.5" customHeight="1" x14ac:dyDescent="0.3">
      <c r="A378" s="14"/>
      <c r="B378" s="14"/>
      <c r="C378" s="14"/>
      <c r="D378" s="14"/>
      <c r="E378" s="1"/>
      <c r="F378" s="15"/>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row>
    <row r="379" spans="1:56" ht="16.5" customHeight="1" x14ac:dyDescent="0.3">
      <c r="A379" s="14"/>
      <c r="B379" s="14"/>
      <c r="C379" s="14"/>
      <c r="D379" s="14"/>
      <c r="E379" s="1"/>
      <c r="F379" s="15"/>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row>
    <row r="380" spans="1:56" ht="16.5" customHeight="1" x14ac:dyDescent="0.3">
      <c r="A380" s="14"/>
      <c r="B380" s="14"/>
      <c r="C380" s="14"/>
      <c r="D380" s="14"/>
      <c r="E380" s="1"/>
      <c r="F380" s="15"/>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row>
    <row r="381" spans="1:56" ht="16.5" customHeight="1" x14ac:dyDescent="0.3">
      <c r="A381" s="14"/>
      <c r="B381" s="14"/>
      <c r="C381" s="14"/>
      <c r="D381" s="14"/>
      <c r="E381" s="1"/>
      <c r="F381" s="15"/>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row>
    <row r="382" spans="1:56" ht="16.5" customHeight="1" x14ac:dyDescent="0.3">
      <c r="A382" s="14"/>
      <c r="B382" s="14"/>
      <c r="C382" s="14"/>
      <c r="D382" s="14"/>
      <c r="E382" s="1"/>
      <c r="F382" s="15"/>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row>
    <row r="383" spans="1:56" ht="16.5" customHeight="1" x14ac:dyDescent="0.3">
      <c r="A383" s="14"/>
      <c r="B383" s="14"/>
      <c r="C383" s="14"/>
      <c r="D383" s="14"/>
      <c r="E383" s="1"/>
      <c r="F383" s="15"/>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row>
    <row r="384" spans="1:56" ht="16.5" customHeight="1" x14ac:dyDescent="0.3">
      <c r="A384" s="14"/>
      <c r="B384" s="14"/>
      <c r="C384" s="14"/>
      <c r="D384" s="14"/>
      <c r="E384" s="1"/>
      <c r="F384" s="15"/>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row>
    <row r="385" spans="1:56" ht="16.5" customHeight="1" x14ac:dyDescent="0.3">
      <c r="A385" s="14"/>
      <c r="B385" s="14"/>
      <c r="C385" s="14"/>
      <c r="D385" s="14"/>
      <c r="E385" s="1"/>
      <c r="F385" s="15"/>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row>
    <row r="386" spans="1:56" ht="16.5" customHeight="1" x14ac:dyDescent="0.3">
      <c r="A386" s="14"/>
      <c r="B386" s="14"/>
      <c r="C386" s="14"/>
      <c r="D386" s="14"/>
      <c r="E386" s="1"/>
      <c r="F386" s="15"/>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row>
    <row r="387" spans="1:56" ht="16.5" customHeight="1" x14ac:dyDescent="0.3">
      <c r="A387" s="14"/>
      <c r="B387" s="14"/>
      <c r="C387" s="14"/>
      <c r="D387" s="14"/>
      <c r="E387" s="1"/>
      <c r="F387" s="15"/>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row>
    <row r="388" spans="1:56" ht="16.5" customHeight="1" x14ac:dyDescent="0.3">
      <c r="A388" s="14"/>
      <c r="B388" s="14"/>
      <c r="C388" s="14"/>
      <c r="D388" s="14"/>
      <c r="E388" s="1"/>
      <c r="F388" s="15"/>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row>
    <row r="389" spans="1:56" ht="16.5" customHeight="1" x14ac:dyDescent="0.3">
      <c r="A389" s="14"/>
      <c r="B389" s="14"/>
      <c r="C389" s="14"/>
      <c r="D389" s="14"/>
      <c r="E389" s="1"/>
      <c r="F389" s="15"/>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row>
    <row r="390" spans="1:56" ht="16.5" customHeight="1" x14ac:dyDescent="0.3">
      <c r="A390" s="14"/>
      <c r="B390" s="14"/>
      <c r="C390" s="14"/>
      <c r="D390" s="14"/>
      <c r="E390" s="1"/>
      <c r="F390" s="15"/>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row>
    <row r="391" spans="1:56" ht="16.5" customHeight="1" x14ac:dyDescent="0.3">
      <c r="A391" s="14"/>
      <c r="B391" s="14"/>
      <c r="C391" s="14"/>
      <c r="D391" s="14"/>
      <c r="E391" s="1"/>
      <c r="F391" s="15"/>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row>
    <row r="392" spans="1:56" ht="16.5" customHeight="1" x14ac:dyDescent="0.3">
      <c r="A392" s="14"/>
      <c r="B392" s="14"/>
      <c r="C392" s="14"/>
      <c r="D392" s="14"/>
      <c r="E392" s="1"/>
      <c r="F392" s="15"/>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row>
    <row r="393" spans="1:56" ht="16.5" customHeight="1" x14ac:dyDescent="0.3">
      <c r="A393" s="14"/>
      <c r="B393" s="14"/>
      <c r="C393" s="14"/>
      <c r="D393" s="14"/>
      <c r="E393" s="1"/>
      <c r="F393" s="15"/>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row>
    <row r="394" spans="1:56" ht="16.5" customHeight="1" x14ac:dyDescent="0.3">
      <c r="A394" s="14"/>
      <c r="B394" s="14"/>
      <c r="C394" s="14"/>
      <c r="D394" s="14"/>
      <c r="E394" s="1"/>
      <c r="F394" s="15"/>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row>
    <row r="395" spans="1:56" ht="16.5" customHeight="1" x14ac:dyDescent="0.3">
      <c r="A395" s="14"/>
      <c r="B395" s="14"/>
      <c r="C395" s="14"/>
      <c r="D395" s="14"/>
      <c r="E395" s="1"/>
      <c r="F395" s="15"/>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row>
    <row r="396" spans="1:56" ht="16.5" customHeight="1" x14ac:dyDescent="0.3">
      <c r="A396" s="14"/>
      <c r="B396" s="14"/>
      <c r="C396" s="14"/>
      <c r="D396" s="14"/>
      <c r="E396" s="1"/>
      <c r="F396" s="15"/>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row>
    <row r="397" spans="1:56" ht="16.5" customHeight="1" x14ac:dyDescent="0.3">
      <c r="A397" s="14"/>
      <c r="B397" s="14"/>
      <c r="C397" s="14"/>
      <c r="D397" s="14"/>
      <c r="E397" s="1"/>
      <c r="F397" s="15"/>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row>
    <row r="398" spans="1:56" ht="16.5" customHeight="1" x14ac:dyDescent="0.3">
      <c r="A398" s="14"/>
      <c r="B398" s="14"/>
      <c r="C398" s="14"/>
      <c r="D398" s="14"/>
      <c r="E398" s="1"/>
      <c r="F398" s="15"/>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row>
    <row r="399" spans="1:56" ht="16.5" customHeight="1" x14ac:dyDescent="0.3">
      <c r="A399" s="14"/>
      <c r="B399" s="14"/>
      <c r="C399" s="14"/>
      <c r="D399" s="14"/>
      <c r="E399" s="1"/>
      <c r="F399" s="15"/>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row>
    <row r="400" spans="1:56" ht="16.5" customHeight="1" x14ac:dyDescent="0.3">
      <c r="A400" s="14"/>
      <c r="B400" s="14"/>
      <c r="C400" s="14"/>
      <c r="D400" s="14"/>
      <c r="E400" s="1"/>
      <c r="F400" s="15"/>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row>
    <row r="401" spans="1:56" ht="16.5" customHeight="1" x14ac:dyDescent="0.3">
      <c r="A401" s="14"/>
      <c r="B401" s="14"/>
      <c r="C401" s="14"/>
      <c r="D401" s="14"/>
      <c r="E401" s="1"/>
      <c r="F401" s="15"/>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row>
    <row r="402" spans="1:56" ht="16.5" customHeight="1" x14ac:dyDescent="0.3">
      <c r="A402" s="14"/>
      <c r="B402" s="14"/>
      <c r="C402" s="14"/>
      <c r="D402" s="14"/>
      <c r="E402" s="1"/>
      <c r="F402" s="15"/>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row>
    <row r="403" spans="1:56" ht="16.5" customHeight="1" x14ac:dyDescent="0.3">
      <c r="A403" s="14"/>
      <c r="B403" s="14"/>
      <c r="C403" s="14"/>
      <c r="D403" s="14"/>
      <c r="E403" s="1"/>
      <c r="F403" s="15"/>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row>
    <row r="404" spans="1:56" ht="16.5" customHeight="1" x14ac:dyDescent="0.3">
      <c r="A404" s="14"/>
      <c r="B404" s="14"/>
      <c r="C404" s="14"/>
      <c r="D404" s="14"/>
      <c r="E404" s="1"/>
      <c r="F404" s="15"/>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row>
    <row r="405" spans="1:56" ht="16.5" customHeight="1" x14ac:dyDescent="0.3">
      <c r="A405" s="14"/>
      <c r="B405" s="14"/>
      <c r="C405" s="14"/>
      <c r="D405" s="14"/>
      <c r="E405" s="1"/>
      <c r="F405" s="15"/>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row>
    <row r="406" spans="1:56" ht="16.5" customHeight="1" x14ac:dyDescent="0.3">
      <c r="A406" s="14"/>
      <c r="B406" s="14"/>
      <c r="C406" s="14"/>
      <c r="D406" s="14"/>
      <c r="E406" s="1"/>
      <c r="F406" s="15"/>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row>
    <row r="407" spans="1:56" ht="16.5" customHeight="1" x14ac:dyDescent="0.3">
      <c r="A407" s="14"/>
      <c r="B407" s="14"/>
      <c r="C407" s="14"/>
      <c r="D407" s="14"/>
      <c r="E407" s="1"/>
      <c r="F407" s="15"/>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row>
    <row r="408" spans="1:56" ht="16.5" customHeight="1" x14ac:dyDescent="0.3">
      <c r="A408" s="14"/>
      <c r="B408" s="14"/>
      <c r="C408" s="14"/>
      <c r="D408" s="14"/>
      <c r="E408" s="1"/>
      <c r="F408" s="15"/>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row>
    <row r="409" spans="1:56" ht="16.5" customHeight="1" x14ac:dyDescent="0.3">
      <c r="A409" s="14"/>
      <c r="B409" s="14"/>
      <c r="C409" s="14"/>
      <c r="D409" s="14"/>
      <c r="E409" s="1"/>
      <c r="F409" s="15"/>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row>
    <row r="410" spans="1:56" ht="16.5" customHeight="1" x14ac:dyDescent="0.3">
      <c r="A410" s="14"/>
      <c r="B410" s="14"/>
      <c r="C410" s="14"/>
      <c r="D410" s="14"/>
      <c r="E410" s="1"/>
      <c r="F410" s="15"/>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row>
    <row r="411" spans="1:56" ht="16.5" customHeight="1" x14ac:dyDescent="0.3">
      <c r="A411" s="14"/>
      <c r="B411" s="14"/>
      <c r="C411" s="14"/>
      <c r="D411" s="14"/>
      <c r="E411" s="1"/>
      <c r="F411" s="15"/>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row>
    <row r="412" spans="1:56" ht="16.5" customHeight="1" x14ac:dyDescent="0.3">
      <c r="A412" s="14"/>
      <c r="B412" s="14"/>
      <c r="C412" s="14"/>
      <c r="D412" s="14"/>
      <c r="E412" s="1"/>
      <c r="F412" s="15"/>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row>
    <row r="413" spans="1:56" ht="16.5" customHeight="1" x14ac:dyDescent="0.3">
      <c r="A413" s="14"/>
      <c r="B413" s="14"/>
      <c r="C413" s="14"/>
      <c r="D413" s="14"/>
      <c r="E413" s="1"/>
      <c r="F413" s="15"/>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row>
    <row r="414" spans="1:56" ht="16.5" customHeight="1" x14ac:dyDescent="0.3">
      <c r="A414" s="14"/>
      <c r="B414" s="14"/>
      <c r="C414" s="14"/>
      <c r="D414" s="14"/>
      <c r="E414" s="1"/>
      <c r="F414" s="15"/>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row>
    <row r="415" spans="1:56" ht="16.5" customHeight="1" x14ac:dyDescent="0.3">
      <c r="A415" s="14"/>
      <c r="B415" s="14"/>
      <c r="C415" s="14"/>
      <c r="D415" s="14"/>
      <c r="E415" s="1"/>
      <c r="F415" s="15"/>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row>
    <row r="416" spans="1:56" ht="16.5" customHeight="1" x14ac:dyDescent="0.3">
      <c r="A416" s="14"/>
      <c r="B416" s="14"/>
      <c r="C416" s="14"/>
      <c r="D416" s="14"/>
      <c r="E416" s="1"/>
      <c r="F416" s="15"/>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row>
    <row r="417" spans="1:56" ht="16.5" customHeight="1" x14ac:dyDescent="0.3">
      <c r="A417" s="14"/>
      <c r="B417" s="14"/>
      <c r="C417" s="14"/>
      <c r="D417" s="14"/>
      <c r="E417" s="1"/>
      <c r="F417" s="15"/>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row>
    <row r="418" spans="1:56" ht="16.5" customHeight="1" x14ac:dyDescent="0.3">
      <c r="A418" s="14"/>
      <c r="B418" s="14"/>
      <c r="C418" s="14"/>
      <c r="D418" s="14"/>
      <c r="E418" s="1"/>
      <c r="F418" s="15"/>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row>
    <row r="419" spans="1:56" ht="16.5" customHeight="1" x14ac:dyDescent="0.3">
      <c r="A419" s="14"/>
      <c r="B419" s="14"/>
      <c r="C419" s="14"/>
      <c r="D419" s="14"/>
      <c r="E419" s="1"/>
      <c r="F419" s="15"/>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row>
    <row r="420" spans="1:56" ht="16.5" customHeight="1" x14ac:dyDescent="0.3">
      <c r="A420" s="14"/>
      <c r="B420" s="14"/>
      <c r="C420" s="14"/>
      <c r="D420" s="14"/>
      <c r="E420" s="1"/>
      <c r="F420" s="15"/>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row>
    <row r="421" spans="1:56" ht="16.5" customHeight="1" x14ac:dyDescent="0.3">
      <c r="A421" s="14"/>
      <c r="B421" s="14"/>
      <c r="C421" s="14"/>
      <c r="D421" s="14"/>
      <c r="E421" s="1"/>
      <c r="F421" s="15"/>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row>
    <row r="422" spans="1:56" ht="16.5" customHeight="1" x14ac:dyDescent="0.3">
      <c r="A422" s="14"/>
      <c r="B422" s="14"/>
      <c r="C422" s="14"/>
      <c r="D422" s="14"/>
      <c r="E422" s="1"/>
      <c r="F422" s="15"/>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row>
    <row r="423" spans="1:56" ht="16.5" customHeight="1" x14ac:dyDescent="0.3">
      <c r="A423" s="14"/>
      <c r="B423" s="14"/>
      <c r="C423" s="14"/>
      <c r="D423" s="14"/>
      <c r="E423" s="1"/>
      <c r="F423" s="15"/>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row>
    <row r="424" spans="1:56" ht="16.5" customHeight="1" x14ac:dyDescent="0.3">
      <c r="A424" s="14"/>
      <c r="B424" s="14"/>
      <c r="C424" s="14"/>
      <c r="D424" s="14"/>
      <c r="E424" s="1"/>
      <c r="F424" s="15"/>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row>
    <row r="425" spans="1:56" ht="16.5" customHeight="1" x14ac:dyDescent="0.3">
      <c r="A425" s="14"/>
      <c r="B425" s="14"/>
      <c r="C425" s="14"/>
      <c r="D425" s="14"/>
      <c r="E425" s="1"/>
      <c r="F425" s="15"/>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row>
    <row r="426" spans="1:56" ht="16.5" customHeight="1" x14ac:dyDescent="0.3">
      <c r="A426" s="14"/>
      <c r="B426" s="14"/>
      <c r="C426" s="14"/>
      <c r="D426" s="14"/>
      <c r="E426" s="1"/>
      <c r="F426" s="15"/>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row>
    <row r="427" spans="1:56" ht="16.5" customHeight="1" x14ac:dyDescent="0.3">
      <c r="A427" s="14"/>
      <c r="B427" s="14"/>
      <c r="C427" s="14"/>
      <c r="D427" s="14"/>
      <c r="E427" s="1"/>
      <c r="F427" s="15"/>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row>
    <row r="428" spans="1:56" ht="16.5" customHeight="1" x14ac:dyDescent="0.3">
      <c r="A428" s="14"/>
      <c r="B428" s="14"/>
      <c r="C428" s="14"/>
      <c r="D428" s="14"/>
      <c r="E428" s="1"/>
      <c r="F428" s="15"/>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row>
    <row r="429" spans="1:56" ht="16.5" customHeight="1" x14ac:dyDescent="0.3">
      <c r="A429" s="14"/>
      <c r="B429" s="14"/>
      <c r="C429" s="14"/>
      <c r="D429" s="14"/>
      <c r="E429" s="1"/>
      <c r="F429" s="15"/>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row>
    <row r="430" spans="1:56" ht="16.5" customHeight="1" x14ac:dyDescent="0.3">
      <c r="A430" s="14"/>
      <c r="B430" s="14"/>
      <c r="C430" s="14"/>
      <c r="D430" s="14"/>
      <c r="E430" s="1"/>
      <c r="F430" s="15"/>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row>
    <row r="431" spans="1:56" ht="16.5" customHeight="1" x14ac:dyDescent="0.3">
      <c r="A431" s="14"/>
      <c r="B431" s="14"/>
      <c r="C431" s="14"/>
      <c r="D431" s="14"/>
      <c r="E431" s="1"/>
      <c r="F431" s="15"/>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row>
    <row r="432" spans="1:56" ht="16.5" customHeight="1" x14ac:dyDescent="0.3">
      <c r="A432" s="14"/>
      <c r="B432" s="14"/>
      <c r="C432" s="14"/>
      <c r="D432" s="14"/>
      <c r="E432" s="1"/>
      <c r="F432" s="15"/>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row>
    <row r="433" spans="1:56" ht="16.5" customHeight="1" x14ac:dyDescent="0.3">
      <c r="A433" s="14"/>
      <c r="B433" s="14"/>
      <c r="C433" s="14"/>
      <c r="D433" s="14"/>
      <c r="E433" s="1"/>
      <c r="F433" s="15"/>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row>
    <row r="434" spans="1:56" ht="16.5" customHeight="1" x14ac:dyDescent="0.3">
      <c r="A434" s="14"/>
      <c r="B434" s="14"/>
      <c r="C434" s="14"/>
      <c r="D434" s="14"/>
      <c r="E434" s="1"/>
      <c r="F434" s="15"/>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row>
    <row r="435" spans="1:56" ht="16.5" customHeight="1" x14ac:dyDescent="0.3">
      <c r="A435" s="14"/>
      <c r="B435" s="14"/>
      <c r="C435" s="14"/>
      <c r="D435" s="14"/>
      <c r="E435" s="1"/>
      <c r="F435" s="15"/>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row>
    <row r="436" spans="1:56" ht="16.5" customHeight="1" x14ac:dyDescent="0.3">
      <c r="A436" s="14"/>
      <c r="B436" s="14"/>
      <c r="C436" s="14"/>
      <c r="D436" s="14"/>
      <c r="E436" s="1"/>
      <c r="F436" s="15"/>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row>
    <row r="437" spans="1:56" ht="16.5" customHeight="1" x14ac:dyDescent="0.3">
      <c r="A437" s="14"/>
      <c r="B437" s="14"/>
      <c r="C437" s="14"/>
      <c r="D437" s="14"/>
      <c r="E437" s="1"/>
      <c r="F437" s="15"/>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row>
    <row r="438" spans="1:56" ht="16.5" customHeight="1" x14ac:dyDescent="0.3">
      <c r="A438" s="14"/>
      <c r="B438" s="14"/>
      <c r="C438" s="14"/>
      <c r="D438" s="14"/>
      <c r="E438" s="1"/>
      <c r="F438" s="15"/>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row>
    <row r="439" spans="1:56" ht="16.5" customHeight="1" x14ac:dyDescent="0.3">
      <c r="A439" s="14"/>
      <c r="B439" s="14"/>
      <c r="C439" s="14"/>
      <c r="D439" s="14"/>
      <c r="E439" s="1"/>
      <c r="F439" s="15"/>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row>
    <row r="440" spans="1:56" ht="16.5" customHeight="1" x14ac:dyDescent="0.3">
      <c r="A440" s="14"/>
      <c r="B440" s="14"/>
      <c r="C440" s="14"/>
      <c r="D440" s="14"/>
      <c r="E440" s="1"/>
      <c r="F440" s="15"/>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row>
    <row r="441" spans="1:56" ht="16.5" customHeight="1" x14ac:dyDescent="0.3">
      <c r="A441" s="14"/>
      <c r="B441" s="14"/>
      <c r="C441" s="14"/>
      <c r="D441" s="14"/>
      <c r="E441" s="1"/>
      <c r="F441" s="15"/>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row>
    <row r="442" spans="1:56" ht="16.5" customHeight="1" x14ac:dyDescent="0.3">
      <c r="A442" s="14"/>
      <c r="B442" s="14"/>
      <c r="C442" s="14"/>
      <c r="D442" s="14"/>
      <c r="E442" s="1"/>
      <c r="F442" s="15"/>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row>
    <row r="443" spans="1:56" ht="16.5" customHeight="1" x14ac:dyDescent="0.3">
      <c r="A443" s="14"/>
      <c r="B443" s="14"/>
      <c r="C443" s="14"/>
      <c r="D443" s="14"/>
      <c r="E443" s="1"/>
      <c r="F443" s="15"/>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row>
    <row r="444" spans="1:56" ht="16.5" customHeight="1" x14ac:dyDescent="0.3">
      <c r="A444" s="14"/>
      <c r="B444" s="14"/>
      <c r="C444" s="14"/>
      <c r="D444" s="14"/>
      <c r="E444" s="1"/>
      <c r="F444" s="15"/>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row>
    <row r="445" spans="1:56" ht="16.5" customHeight="1" x14ac:dyDescent="0.3">
      <c r="A445" s="14"/>
      <c r="B445" s="14"/>
      <c r="C445" s="14"/>
      <c r="D445" s="14"/>
      <c r="E445" s="1"/>
      <c r="F445" s="15"/>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row>
    <row r="446" spans="1:56" ht="16.5" customHeight="1" x14ac:dyDescent="0.3">
      <c r="A446" s="14"/>
      <c r="B446" s="14"/>
      <c r="C446" s="14"/>
      <c r="D446" s="14"/>
      <c r="E446" s="1"/>
      <c r="F446" s="15"/>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row>
    <row r="447" spans="1:56" ht="16.5" customHeight="1" x14ac:dyDescent="0.3">
      <c r="A447" s="14"/>
      <c r="B447" s="14"/>
      <c r="C447" s="14"/>
      <c r="D447" s="14"/>
      <c r="E447" s="1"/>
      <c r="F447" s="15"/>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row>
    <row r="448" spans="1:56" ht="16.5" customHeight="1" x14ac:dyDescent="0.3">
      <c r="A448" s="14"/>
      <c r="B448" s="14"/>
      <c r="C448" s="14"/>
      <c r="D448" s="14"/>
      <c r="E448" s="1"/>
      <c r="F448" s="15"/>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row>
    <row r="449" spans="1:56" ht="16.5" customHeight="1" x14ac:dyDescent="0.3">
      <c r="A449" s="14"/>
      <c r="B449" s="14"/>
      <c r="C449" s="14"/>
      <c r="D449" s="14"/>
      <c r="E449" s="1"/>
      <c r="F449" s="15"/>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row>
    <row r="450" spans="1:56" ht="16.5" customHeight="1" x14ac:dyDescent="0.3">
      <c r="A450" s="14"/>
      <c r="B450" s="14"/>
      <c r="C450" s="14"/>
      <c r="D450" s="14"/>
      <c r="E450" s="1"/>
      <c r="F450" s="15"/>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row>
    <row r="451" spans="1:56" ht="16.5" customHeight="1" x14ac:dyDescent="0.3">
      <c r="A451" s="14"/>
      <c r="B451" s="14"/>
      <c r="C451" s="14"/>
      <c r="D451" s="14"/>
      <c r="E451" s="1"/>
      <c r="F451" s="15"/>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row>
    <row r="452" spans="1:56" ht="16.5" customHeight="1" x14ac:dyDescent="0.3">
      <c r="A452" s="14"/>
      <c r="B452" s="14"/>
      <c r="C452" s="14"/>
      <c r="D452" s="14"/>
      <c r="E452" s="1"/>
      <c r="F452" s="15"/>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row>
    <row r="453" spans="1:56" ht="16.5" customHeight="1" x14ac:dyDescent="0.3">
      <c r="A453" s="14"/>
      <c r="B453" s="14"/>
      <c r="C453" s="14"/>
      <c r="D453" s="14"/>
      <c r="E453" s="1"/>
      <c r="F453" s="15"/>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row>
    <row r="454" spans="1:56" ht="16.5" customHeight="1" x14ac:dyDescent="0.3">
      <c r="A454" s="14"/>
      <c r="B454" s="14"/>
      <c r="C454" s="14"/>
      <c r="D454" s="14"/>
      <c r="E454" s="1"/>
      <c r="F454" s="15"/>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row>
    <row r="455" spans="1:56" ht="16.5" customHeight="1" x14ac:dyDescent="0.3">
      <c r="A455" s="14"/>
      <c r="B455" s="14"/>
      <c r="C455" s="14"/>
      <c r="D455" s="14"/>
      <c r="E455" s="1"/>
      <c r="F455" s="15"/>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row>
    <row r="456" spans="1:56" ht="16.5" customHeight="1" x14ac:dyDescent="0.3">
      <c r="A456" s="14"/>
      <c r="B456" s="14"/>
      <c r="C456" s="14"/>
      <c r="D456" s="14"/>
      <c r="E456" s="1"/>
      <c r="F456" s="15"/>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row>
    <row r="457" spans="1:56" ht="16.5" customHeight="1" x14ac:dyDescent="0.3">
      <c r="A457" s="14"/>
      <c r="B457" s="14"/>
      <c r="C457" s="14"/>
      <c r="D457" s="14"/>
      <c r="E457" s="1"/>
      <c r="F457" s="15"/>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row>
    <row r="458" spans="1:56" ht="16.5" customHeight="1" x14ac:dyDescent="0.3">
      <c r="A458" s="14"/>
      <c r="B458" s="14"/>
      <c r="C458" s="14"/>
      <c r="D458" s="14"/>
      <c r="E458" s="1"/>
      <c r="F458" s="15"/>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row>
    <row r="459" spans="1:56" ht="16.5" customHeight="1" x14ac:dyDescent="0.3">
      <c r="A459" s="14"/>
      <c r="B459" s="14"/>
      <c r="C459" s="14"/>
      <c r="D459" s="14"/>
      <c r="E459" s="1"/>
      <c r="F459" s="15"/>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row>
    <row r="460" spans="1:56" ht="16.5" customHeight="1" x14ac:dyDescent="0.3">
      <c r="A460" s="14"/>
      <c r="B460" s="14"/>
      <c r="C460" s="14"/>
      <c r="D460" s="14"/>
      <c r="E460" s="1"/>
      <c r="F460" s="15"/>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row>
    <row r="461" spans="1:56" ht="16.5" customHeight="1" x14ac:dyDescent="0.3">
      <c r="A461" s="14"/>
      <c r="B461" s="14"/>
      <c r="C461" s="14"/>
      <c r="D461" s="14"/>
      <c r="E461" s="1"/>
      <c r="F461" s="15"/>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row>
    <row r="462" spans="1:56" ht="16.5" customHeight="1" x14ac:dyDescent="0.3">
      <c r="A462" s="14"/>
      <c r="B462" s="14"/>
      <c r="C462" s="14"/>
      <c r="D462" s="14"/>
      <c r="E462" s="1"/>
      <c r="F462" s="15"/>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row>
    <row r="463" spans="1:56" ht="16.5" customHeight="1" x14ac:dyDescent="0.3">
      <c r="A463" s="14"/>
      <c r="B463" s="14"/>
      <c r="C463" s="14"/>
      <c r="D463" s="14"/>
      <c r="E463" s="1"/>
      <c r="F463" s="15"/>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row>
    <row r="464" spans="1:56" ht="16.5" customHeight="1" x14ac:dyDescent="0.3">
      <c r="A464" s="14"/>
      <c r="B464" s="14"/>
      <c r="C464" s="14"/>
      <c r="D464" s="14"/>
      <c r="E464" s="1"/>
      <c r="F464" s="15"/>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row>
    <row r="465" spans="1:56" ht="16.5" customHeight="1" x14ac:dyDescent="0.3">
      <c r="A465" s="14"/>
      <c r="B465" s="14"/>
      <c r="C465" s="14"/>
      <c r="D465" s="14"/>
      <c r="E465" s="1"/>
      <c r="F465" s="15"/>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row>
    <row r="466" spans="1:56" ht="16.5" customHeight="1" x14ac:dyDescent="0.3">
      <c r="A466" s="14"/>
      <c r="B466" s="14"/>
      <c r="C466" s="14"/>
      <c r="D466" s="14"/>
      <c r="E466" s="1"/>
      <c r="F466" s="15"/>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row>
    <row r="467" spans="1:56" ht="16.5" customHeight="1" x14ac:dyDescent="0.3">
      <c r="A467" s="14"/>
      <c r="B467" s="14"/>
      <c r="C467" s="14"/>
      <c r="D467" s="14"/>
      <c r="E467" s="1"/>
      <c r="F467" s="15"/>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row>
    <row r="468" spans="1:56" ht="16.5" customHeight="1" x14ac:dyDescent="0.3">
      <c r="A468" s="14"/>
      <c r="B468" s="14"/>
      <c r="C468" s="14"/>
      <c r="D468" s="14"/>
      <c r="E468" s="1"/>
      <c r="F468" s="15"/>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row>
    <row r="469" spans="1:56" ht="16.5" customHeight="1" x14ac:dyDescent="0.3">
      <c r="A469" s="14"/>
      <c r="B469" s="14"/>
      <c r="C469" s="14"/>
      <c r="D469" s="14"/>
      <c r="E469" s="1"/>
      <c r="F469" s="15"/>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row>
    <row r="470" spans="1:56" ht="16.5" customHeight="1" x14ac:dyDescent="0.3">
      <c r="A470" s="14"/>
      <c r="B470" s="14"/>
      <c r="C470" s="14"/>
      <c r="D470" s="14"/>
      <c r="E470" s="1"/>
      <c r="F470" s="15"/>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row>
    <row r="471" spans="1:56" ht="16.5" customHeight="1" x14ac:dyDescent="0.3">
      <c r="A471" s="14"/>
      <c r="B471" s="14"/>
      <c r="C471" s="14"/>
      <c r="D471" s="14"/>
      <c r="E471" s="1"/>
      <c r="F471" s="15"/>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row>
    <row r="472" spans="1:56" ht="16.5" customHeight="1" x14ac:dyDescent="0.3">
      <c r="A472" s="14"/>
      <c r="B472" s="14"/>
      <c r="C472" s="14"/>
      <c r="D472" s="14"/>
      <c r="E472" s="1"/>
      <c r="F472" s="15"/>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row>
    <row r="473" spans="1:56" ht="16.5" customHeight="1" x14ac:dyDescent="0.3">
      <c r="A473" s="14"/>
      <c r="B473" s="14"/>
      <c r="C473" s="14"/>
      <c r="D473" s="14"/>
      <c r="E473" s="1"/>
      <c r="F473" s="15"/>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row>
    <row r="474" spans="1:56" ht="16.5" customHeight="1" x14ac:dyDescent="0.3">
      <c r="A474" s="14"/>
      <c r="B474" s="14"/>
      <c r="C474" s="14"/>
      <c r="D474" s="14"/>
      <c r="E474" s="1"/>
      <c r="F474" s="15"/>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row>
    <row r="475" spans="1:56" ht="16.5" customHeight="1" x14ac:dyDescent="0.3">
      <c r="A475" s="14"/>
      <c r="B475" s="14"/>
      <c r="C475" s="14"/>
      <c r="D475" s="14"/>
      <c r="E475" s="1"/>
      <c r="F475" s="15"/>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row>
    <row r="476" spans="1:56" ht="16.5" customHeight="1" x14ac:dyDescent="0.3">
      <c r="A476" s="14"/>
      <c r="B476" s="14"/>
      <c r="C476" s="14"/>
      <c r="D476" s="14"/>
      <c r="E476" s="1"/>
      <c r="F476" s="15"/>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row>
    <row r="477" spans="1:56" ht="16.5" customHeight="1" x14ac:dyDescent="0.3">
      <c r="A477" s="14"/>
      <c r="B477" s="14"/>
      <c r="C477" s="14"/>
      <c r="D477" s="14"/>
      <c r="E477" s="1"/>
      <c r="F477" s="15"/>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row>
    <row r="478" spans="1:56" ht="16.5" customHeight="1" x14ac:dyDescent="0.3">
      <c r="A478" s="14"/>
      <c r="B478" s="14"/>
      <c r="C478" s="14"/>
      <c r="D478" s="14"/>
      <c r="E478" s="1"/>
      <c r="F478" s="15"/>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row>
    <row r="479" spans="1:56" ht="16.5" customHeight="1" x14ac:dyDescent="0.3">
      <c r="A479" s="14"/>
      <c r="B479" s="14"/>
      <c r="C479" s="14"/>
      <c r="D479" s="14"/>
      <c r="E479" s="1"/>
      <c r="F479" s="15"/>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row>
    <row r="480" spans="1:56" ht="16.5" customHeight="1" x14ac:dyDescent="0.3">
      <c r="A480" s="14"/>
      <c r="B480" s="14"/>
      <c r="C480" s="14"/>
      <c r="D480" s="14"/>
      <c r="E480" s="1"/>
      <c r="F480" s="15"/>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row>
    <row r="481" spans="1:56" ht="16.5" customHeight="1" x14ac:dyDescent="0.3">
      <c r="A481" s="14"/>
      <c r="B481" s="14"/>
      <c r="C481" s="14"/>
      <c r="D481" s="14"/>
      <c r="E481" s="1"/>
      <c r="F481" s="15"/>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row>
    <row r="482" spans="1:56" ht="16.5" customHeight="1" x14ac:dyDescent="0.3">
      <c r="A482" s="14"/>
      <c r="B482" s="14"/>
      <c r="C482" s="14"/>
      <c r="D482" s="14"/>
      <c r="E482" s="1"/>
      <c r="F482" s="15"/>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row>
    <row r="483" spans="1:56" ht="16.5" customHeight="1" x14ac:dyDescent="0.3">
      <c r="A483" s="14"/>
      <c r="B483" s="14"/>
      <c r="C483" s="14"/>
      <c r="D483" s="14"/>
      <c r="E483" s="1"/>
      <c r="F483" s="15"/>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row>
    <row r="484" spans="1:56" ht="16.5" customHeight="1" x14ac:dyDescent="0.3">
      <c r="A484" s="14"/>
      <c r="B484" s="14"/>
      <c r="C484" s="14"/>
      <c r="D484" s="14"/>
      <c r="E484" s="1"/>
      <c r="F484" s="15"/>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row>
    <row r="485" spans="1:56" ht="16.5" customHeight="1" x14ac:dyDescent="0.3">
      <c r="A485" s="14"/>
      <c r="B485" s="14"/>
      <c r="C485" s="14"/>
      <c r="D485" s="14"/>
      <c r="E485" s="1"/>
      <c r="F485" s="15"/>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row>
    <row r="486" spans="1:56" ht="16.5" customHeight="1" x14ac:dyDescent="0.3">
      <c r="A486" s="14"/>
      <c r="B486" s="14"/>
      <c r="C486" s="14"/>
      <c r="D486" s="14"/>
      <c r="E486" s="1"/>
      <c r="F486" s="15"/>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row>
    <row r="487" spans="1:56" ht="16.5" customHeight="1" x14ac:dyDescent="0.3">
      <c r="A487" s="14"/>
      <c r="B487" s="14"/>
      <c r="C487" s="14"/>
      <c r="D487" s="14"/>
      <c r="E487" s="1"/>
      <c r="F487" s="15"/>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row>
    <row r="488" spans="1:56" ht="16.5" customHeight="1" x14ac:dyDescent="0.3">
      <c r="A488" s="14"/>
      <c r="B488" s="14"/>
      <c r="C488" s="14"/>
      <c r="D488" s="14"/>
      <c r="E488" s="1"/>
      <c r="F488" s="15"/>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row>
    <row r="489" spans="1:56" ht="16.5" customHeight="1" x14ac:dyDescent="0.3">
      <c r="A489" s="14"/>
      <c r="B489" s="14"/>
      <c r="C489" s="14"/>
      <c r="D489" s="14"/>
      <c r="E489" s="1"/>
      <c r="F489" s="15"/>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row>
    <row r="490" spans="1:56" ht="16.5" customHeight="1" x14ac:dyDescent="0.3">
      <c r="A490" s="14"/>
      <c r="B490" s="14"/>
      <c r="C490" s="14"/>
      <c r="D490" s="14"/>
      <c r="E490" s="1"/>
      <c r="F490" s="15"/>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row>
    <row r="491" spans="1:56" ht="16.5" customHeight="1" x14ac:dyDescent="0.3">
      <c r="A491" s="14"/>
      <c r="B491" s="14"/>
      <c r="C491" s="14"/>
      <c r="D491" s="14"/>
      <c r="E491" s="1"/>
      <c r="F491" s="15"/>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row>
    <row r="492" spans="1:56" ht="16.5" customHeight="1" x14ac:dyDescent="0.3">
      <c r="A492" s="14"/>
      <c r="B492" s="14"/>
      <c r="C492" s="14"/>
      <c r="D492" s="14"/>
      <c r="E492" s="1"/>
      <c r="F492" s="15"/>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row>
    <row r="493" spans="1:56" ht="16.5" customHeight="1" x14ac:dyDescent="0.3">
      <c r="A493" s="14"/>
      <c r="B493" s="14"/>
      <c r="C493" s="14"/>
      <c r="D493" s="14"/>
      <c r="E493" s="1"/>
      <c r="F493" s="15"/>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row>
    <row r="494" spans="1:56" ht="16.5" customHeight="1" x14ac:dyDescent="0.3">
      <c r="A494" s="14"/>
      <c r="B494" s="14"/>
      <c r="C494" s="14"/>
      <c r="D494" s="14"/>
      <c r="E494" s="1"/>
      <c r="F494" s="15"/>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row>
    <row r="495" spans="1:56" ht="16.5" customHeight="1" x14ac:dyDescent="0.3">
      <c r="A495" s="14"/>
      <c r="B495" s="14"/>
      <c r="C495" s="14"/>
      <c r="D495" s="14"/>
      <c r="E495" s="1"/>
      <c r="F495" s="15"/>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row>
    <row r="496" spans="1:56" ht="16.5" customHeight="1" x14ac:dyDescent="0.3">
      <c r="A496" s="14"/>
      <c r="B496" s="14"/>
      <c r="C496" s="14"/>
      <c r="D496" s="14"/>
      <c r="E496" s="1"/>
      <c r="F496" s="15"/>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row>
    <row r="497" spans="1:56" ht="16.5" customHeight="1" x14ac:dyDescent="0.3">
      <c r="A497" s="14"/>
      <c r="B497" s="14"/>
      <c r="C497" s="14"/>
      <c r="D497" s="14"/>
      <c r="E497" s="1"/>
      <c r="F497" s="15"/>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row>
    <row r="498" spans="1:56" ht="16.5" customHeight="1" x14ac:dyDescent="0.3">
      <c r="A498" s="14"/>
      <c r="B498" s="14"/>
      <c r="C498" s="14"/>
      <c r="D498" s="14"/>
      <c r="E498" s="1"/>
      <c r="F498" s="15"/>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row>
    <row r="499" spans="1:56" ht="16.5" customHeight="1" x14ac:dyDescent="0.3">
      <c r="A499" s="14"/>
      <c r="B499" s="14"/>
      <c r="C499" s="14"/>
      <c r="D499" s="14"/>
      <c r="E499" s="1"/>
      <c r="F499" s="15"/>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row>
    <row r="500" spans="1:56" ht="16.5" customHeight="1" x14ac:dyDescent="0.3">
      <c r="A500" s="14"/>
      <c r="B500" s="14"/>
      <c r="C500" s="14"/>
      <c r="D500" s="14"/>
      <c r="E500" s="1"/>
      <c r="F500" s="15"/>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row>
    <row r="501" spans="1:56" ht="16.5" customHeight="1" x14ac:dyDescent="0.3">
      <c r="A501" s="14"/>
      <c r="B501" s="14"/>
      <c r="C501" s="14"/>
      <c r="D501" s="14"/>
      <c r="E501" s="1"/>
      <c r="F501" s="15"/>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row>
    <row r="502" spans="1:56" ht="16.5" customHeight="1" x14ac:dyDescent="0.3">
      <c r="A502" s="14"/>
      <c r="B502" s="14"/>
      <c r="C502" s="14"/>
      <c r="D502" s="14"/>
      <c r="E502" s="1"/>
      <c r="F502" s="15"/>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row>
    <row r="503" spans="1:56" ht="16.5" customHeight="1" x14ac:dyDescent="0.3">
      <c r="A503" s="14"/>
      <c r="B503" s="14"/>
      <c r="C503" s="14"/>
      <c r="D503" s="14"/>
      <c r="E503" s="1"/>
      <c r="F503" s="15"/>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row>
    <row r="504" spans="1:56" ht="16.5" customHeight="1" x14ac:dyDescent="0.3">
      <c r="A504" s="14"/>
      <c r="B504" s="14"/>
      <c r="C504" s="14"/>
      <c r="D504" s="14"/>
      <c r="E504" s="1"/>
      <c r="F504" s="15"/>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row>
    <row r="505" spans="1:56" ht="16.5" customHeight="1" x14ac:dyDescent="0.3">
      <c r="A505" s="14"/>
      <c r="B505" s="14"/>
      <c r="C505" s="14"/>
      <c r="D505" s="14"/>
      <c r="E505" s="1"/>
      <c r="F505" s="15"/>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row>
    <row r="506" spans="1:56" ht="16.5" customHeight="1" x14ac:dyDescent="0.3">
      <c r="A506" s="14"/>
      <c r="B506" s="14"/>
      <c r="C506" s="14"/>
      <c r="D506" s="14"/>
      <c r="E506" s="1"/>
      <c r="F506" s="15"/>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row>
    <row r="507" spans="1:56" ht="16.5" customHeight="1" x14ac:dyDescent="0.3">
      <c r="A507" s="14"/>
      <c r="B507" s="14"/>
      <c r="C507" s="14"/>
      <c r="D507" s="14"/>
      <c r="E507" s="1"/>
      <c r="F507" s="15"/>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row>
    <row r="508" spans="1:56" ht="16.5" customHeight="1" x14ac:dyDescent="0.3">
      <c r="A508" s="14"/>
      <c r="B508" s="14"/>
      <c r="C508" s="14"/>
      <c r="D508" s="14"/>
      <c r="E508" s="1"/>
      <c r="F508" s="15"/>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row>
    <row r="509" spans="1:56" ht="16.5" customHeight="1" x14ac:dyDescent="0.3">
      <c r="A509" s="14"/>
      <c r="B509" s="14"/>
      <c r="C509" s="14"/>
      <c r="D509" s="14"/>
      <c r="E509" s="1"/>
      <c r="F509" s="15"/>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row>
    <row r="510" spans="1:56" ht="16.5" customHeight="1" x14ac:dyDescent="0.3">
      <c r="A510" s="14"/>
      <c r="B510" s="14"/>
      <c r="C510" s="14"/>
      <c r="D510" s="14"/>
      <c r="E510" s="1"/>
      <c r="F510" s="15"/>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row>
    <row r="511" spans="1:56" ht="16.5" customHeight="1" x14ac:dyDescent="0.3">
      <c r="A511" s="14"/>
      <c r="B511" s="14"/>
      <c r="C511" s="14"/>
      <c r="D511" s="14"/>
      <c r="E511" s="1"/>
      <c r="F511" s="15"/>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row>
    <row r="512" spans="1:56" ht="16.5" customHeight="1" x14ac:dyDescent="0.3">
      <c r="A512" s="14"/>
      <c r="B512" s="14"/>
      <c r="C512" s="14"/>
      <c r="D512" s="14"/>
      <c r="E512" s="1"/>
      <c r="F512" s="15"/>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row>
    <row r="513" spans="1:56" ht="16.5" customHeight="1" x14ac:dyDescent="0.3">
      <c r="A513" s="14"/>
      <c r="B513" s="14"/>
      <c r="C513" s="14"/>
      <c r="D513" s="14"/>
      <c r="E513" s="1"/>
      <c r="F513" s="15"/>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row>
    <row r="514" spans="1:56" ht="16.5" customHeight="1" x14ac:dyDescent="0.3">
      <c r="A514" s="14"/>
      <c r="B514" s="14"/>
      <c r="C514" s="14"/>
      <c r="D514" s="14"/>
      <c r="E514" s="1"/>
      <c r="F514" s="15"/>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row>
    <row r="515" spans="1:56" ht="16.5" customHeight="1" x14ac:dyDescent="0.3">
      <c r="A515" s="14"/>
      <c r="B515" s="14"/>
      <c r="C515" s="14"/>
      <c r="D515" s="14"/>
      <c r="E515" s="1"/>
      <c r="F515" s="15"/>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row>
    <row r="516" spans="1:56" ht="16.5" customHeight="1" x14ac:dyDescent="0.3">
      <c r="A516" s="14"/>
      <c r="B516" s="14"/>
      <c r="C516" s="14"/>
      <c r="D516" s="14"/>
      <c r="E516" s="1"/>
      <c r="F516" s="15"/>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row>
    <row r="517" spans="1:56" ht="16.5" customHeight="1" x14ac:dyDescent="0.3">
      <c r="A517" s="14"/>
      <c r="B517" s="14"/>
      <c r="C517" s="14"/>
      <c r="D517" s="14"/>
      <c r="E517" s="1"/>
      <c r="F517" s="15"/>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row>
    <row r="518" spans="1:56" ht="16.5" customHeight="1" x14ac:dyDescent="0.3">
      <c r="A518" s="14"/>
      <c r="B518" s="14"/>
      <c r="C518" s="14"/>
      <c r="D518" s="14"/>
      <c r="E518" s="1"/>
      <c r="F518" s="15"/>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row>
    <row r="519" spans="1:56" ht="16.5" customHeight="1" x14ac:dyDescent="0.3">
      <c r="A519" s="14"/>
      <c r="B519" s="14"/>
      <c r="C519" s="14"/>
      <c r="D519" s="14"/>
      <c r="E519" s="1"/>
      <c r="F519" s="15"/>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row>
    <row r="520" spans="1:56" ht="16.5" customHeight="1" x14ac:dyDescent="0.3">
      <c r="A520" s="14"/>
      <c r="B520" s="14"/>
      <c r="C520" s="14"/>
      <c r="D520" s="14"/>
      <c r="E520" s="1"/>
      <c r="F520" s="15"/>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row>
    <row r="521" spans="1:56" ht="16.5" customHeight="1" x14ac:dyDescent="0.3">
      <c r="A521" s="14"/>
      <c r="B521" s="14"/>
      <c r="C521" s="14"/>
      <c r="D521" s="14"/>
      <c r="E521" s="1"/>
      <c r="F521" s="15"/>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row>
    <row r="522" spans="1:56" ht="16.5" customHeight="1" x14ac:dyDescent="0.3">
      <c r="A522" s="14"/>
      <c r="B522" s="14"/>
      <c r="C522" s="14"/>
      <c r="D522" s="14"/>
      <c r="E522" s="1"/>
      <c r="F522" s="15"/>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row>
    <row r="523" spans="1:56" ht="16.5" customHeight="1" x14ac:dyDescent="0.3">
      <c r="A523" s="14"/>
      <c r="B523" s="14"/>
      <c r="C523" s="14"/>
      <c r="D523" s="14"/>
      <c r="E523" s="1"/>
      <c r="F523" s="15"/>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row>
    <row r="524" spans="1:56" ht="16.5" customHeight="1" x14ac:dyDescent="0.3">
      <c r="A524" s="14"/>
      <c r="B524" s="14"/>
      <c r="C524" s="14"/>
      <c r="D524" s="14"/>
      <c r="E524" s="1"/>
      <c r="F524" s="15"/>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row>
    <row r="525" spans="1:56" ht="16.5" customHeight="1" x14ac:dyDescent="0.3">
      <c r="A525" s="14"/>
      <c r="B525" s="14"/>
      <c r="C525" s="14"/>
      <c r="D525" s="14"/>
      <c r="E525" s="1"/>
      <c r="F525" s="15"/>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row>
    <row r="526" spans="1:56" ht="16.5" customHeight="1" x14ac:dyDescent="0.3">
      <c r="A526" s="14"/>
      <c r="B526" s="14"/>
      <c r="C526" s="14"/>
      <c r="D526" s="14"/>
      <c r="E526" s="1"/>
      <c r="F526" s="15"/>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row>
    <row r="527" spans="1:56" ht="16.5" customHeight="1" x14ac:dyDescent="0.3">
      <c r="A527" s="14"/>
      <c r="B527" s="14"/>
      <c r="C527" s="14"/>
      <c r="D527" s="14"/>
      <c r="E527" s="1"/>
      <c r="F527" s="15"/>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row>
    <row r="528" spans="1:56" ht="16.5" customHeight="1" x14ac:dyDescent="0.3">
      <c r="A528" s="14"/>
      <c r="B528" s="14"/>
      <c r="C528" s="14"/>
      <c r="D528" s="14"/>
      <c r="E528" s="1"/>
      <c r="F528" s="15"/>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row>
    <row r="529" spans="1:56" ht="16.5" customHeight="1" x14ac:dyDescent="0.3">
      <c r="A529" s="14"/>
      <c r="B529" s="14"/>
      <c r="C529" s="14"/>
      <c r="D529" s="14"/>
      <c r="E529" s="1"/>
      <c r="F529" s="15"/>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row>
    <row r="530" spans="1:56" ht="16.5" customHeight="1" x14ac:dyDescent="0.3">
      <c r="A530" s="14"/>
      <c r="B530" s="14"/>
      <c r="C530" s="14"/>
      <c r="D530" s="14"/>
      <c r="E530" s="1"/>
      <c r="F530" s="15"/>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row>
    <row r="531" spans="1:56" ht="16.5" customHeight="1" x14ac:dyDescent="0.3">
      <c r="A531" s="14"/>
      <c r="B531" s="14"/>
      <c r="C531" s="14"/>
      <c r="D531" s="14"/>
      <c r="E531" s="1"/>
      <c r="F531" s="15"/>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row>
    <row r="532" spans="1:56" ht="16.5" customHeight="1" x14ac:dyDescent="0.3">
      <c r="A532" s="14"/>
      <c r="B532" s="14"/>
      <c r="C532" s="14"/>
      <c r="D532" s="14"/>
      <c r="E532" s="1"/>
      <c r="F532" s="15"/>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row>
    <row r="533" spans="1:56" ht="16.5" customHeight="1" x14ac:dyDescent="0.3">
      <c r="A533" s="14"/>
      <c r="B533" s="14"/>
      <c r="C533" s="14"/>
      <c r="D533" s="14"/>
      <c r="E533" s="1"/>
      <c r="F533" s="15"/>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row>
    <row r="534" spans="1:56" ht="16.5" customHeight="1" x14ac:dyDescent="0.3">
      <c r="A534" s="14"/>
      <c r="B534" s="14"/>
      <c r="C534" s="14"/>
      <c r="D534" s="14"/>
      <c r="E534" s="1"/>
      <c r="F534" s="15"/>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row>
    <row r="535" spans="1:56" ht="16.5" customHeight="1" x14ac:dyDescent="0.3">
      <c r="A535" s="14"/>
      <c r="B535" s="14"/>
      <c r="C535" s="14"/>
      <c r="D535" s="14"/>
      <c r="E535" s="1"/>
      <c r="F535" s="15"/>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row>
    <row r="536" spans="1:56" ht="16.5" customHeight="1" x14ac:dyDescent="0.3">
      <c r="A536" s="14"/>
      <c r="B536" s="14"/>
      <c r="C536" s="14"/>
      <c r="D536" s="14"/>
      <c r="E536" s="1"/>
      <c r="F536" s="15"/>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row>
    <row r="537" spans="1:56" ht="16.5" customHeight="1" x14ac:dyDescent="0.3">
      <c r="A537" s="14"/>
      <c r="B537" s="14"/>
      <c r="C537" s="14"/>
      <c r="D537" s="14"/>
      <c r="E537" s="1"/>
      <c r="F537" s="15"/>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row>
    <row r="538" spans="1:56" ht="16.5" customHeight="1" x14ac:dyDescent="0.3">
      <c r="A538" s="14"/>
      <c r="B538" s="14"/>
      <c r="C538" s="14"/>
      <c r="D538" s="14"/>
      <c r="E538" s="1"/>
      <c r="F538" s="15"/>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row>
    <row r="539" spans="1:56" ht="16.5" customHeight="1" x14ac:dyDescent="0.3">
      <c r="A539" s="14"/>
      <c r="B539" s="14"/>
      <c r="C539" s="14"/>
      <c r="D539" s="14"/>
      <c r="E539" s="1"/>
      <c r="F539" s="15"/>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row>
    <row r="540" spans="1:56" ht="16.5" customHeight="1" x14ac:dyDescent="0.3">
      <c r="A540" s="14"/>
      <c r="B540" s="14"/>
      <c r="C540" s="14"/>
      <c r="D540" s="14"/>
      <c r="E540" s="1"/>
      <c r="F540" s="15"/>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row>
    <row r="541" spans="1:56" ht="16.5" customHeight="1" x14ac:dyDescent="0.3">
      <c r="A541" s="14"/>
      <c r="B541" s="14"/>
      <c r="C541" s="14"/>
      <c r="D541" s="14"/>
      <c r="E541" s="1"/>
      <c r="F541" s="15"/>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row>
    <row r="542" spans="1:56" ht="16.5" customHeight="1" x14ac:dyDescent="0.3">
      <c r="A542" s="14"/>
      <c r="B542" s="14"/>
      <c r="C542" s="14"/>
      <c r="D542" s="14"/>
      <c r="E542" s="1"/>
      <c r="F542" s="15"/>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row>
    <row r="543" spans="1:56" ht="16.5" customHeight="1" x14ac:dyDescent="0.3">
      <c r="A543" s="14"/>
      <c r="B543" s="14"/>
      <c r="C543" s="14"/>
      <c r="D543" s="14"/>
      <c r="E543" s="1"/>
      <c r="F543" s="15"/>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row>
    <row r="544" spans="1:56" ht="16.5" customHeight="1" x14ac:dyDescent="0.3">
      <c r="A544" s="14"/>
      <c r="B544" s="14"/>
      <c r="C544" s="14"/>
      <c r="D544" s="14"/>
      <c r="E544" s="1"/>
      <c r="F544" s="15"/>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row>
    <row r="545" spans="1:56" ht="16.5" customHeight="1" x14ac:dyDescent="0.3">
      <c r="A545" s="14"/>
      <c r="B545" s="14"/>
      <c r="C545" s="14"/>
      <c r="D545" s="14"/>
      <c r="E545" s="1"/>
      <c r="F545" s="15"/>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row>
    <row r="546" spans="1:56" ht="16.5" customHeight="1" x14ac:dyDescent="0.3">
      <c r="A546" s="14"/>
      <c r="B546" s="14"/>
      <c r="C546" s="14"/>
      <c r="D546" s="14"/>
      <c r="E546" s="1"/>
      <c r="F546" s="15"/>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row>
    <row r="547" spans="1:56" ht="16.5" customHeight="1" x14ac:dyDescent="0.3">
      <c r="A547" s="14"/>
      <c r="B547" s="14"/>
      <c r="C547" s="14"/>
      <c r="D547" s="14"/>
      <c r="E547" s="1"/>
      <c r="F547" s="15"/>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row>
    <row r="548" spans="1:56" ht="16.5" customHeight="1" x14ac:dyDescent="0.3">
      <c r="A548" s="14"/>
      <c r="B548" s="14"/>
      <c r="C548" s="14"/>
      <c r="D548" s="14"/>
      <c r="E548" s="1"/>
      <c r="F548" s="15"/>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row>
    <row r="549" spans="1:56" ht="16.5" customHeight="1" x14ac:dyDescent="0.3">
      <c r="A549" s="14"/>
      <c r="B549" s="14"/>
      <c r="C549" s="14"/>
      <c r="D549" s="14"/>
      <c r="E549" s="1"/>
      <c r="F549" s="15"/>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row>
    <row r="550" spans="1:56" ht="16.5" customHeight="1" x14ac:dyDescent="0.3">
      <c r="A550" s="14"/>
      <c r="B550" s="14"/>
      <c r="C550" s="14"/>
      <c r="D550" s="14"/>
      <c r="E550" s="1"/>
      <c r="F550" s="15"/>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row>
    <row r="551" spans="1:56" ht="16.5" customHeight="1" x14ac:dyDescent="0.3">
      <c r="A551" s="14"/>
      <c r="B551" s="14"/>
      <c r="C551" s="14"/>
      <c r="D551" s="14"/>
      <c r="E551" s="1"/>
      <c r="F551" s="15"/>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row>
    <row r="552" spans="1:56" ht="16.5" customHeight="1" x14ac:dyDescent="0.3">
      <c r="A552" s="14"/>
      <c r="B552" s="14"/>
      <c r="C552" s="14"/>
      <c r="D552" s="14"/>
      <c r="E552" s="1"/>
      <c r="F552" s="15"/>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row>
    <row r="553" spans="1:56" ht="16.5" customHeight="1" x14ac:dyDescent="0.3">
      <c r="A553" s="14"/>
      <c r="B553" s="14"/>
      <c r="C553" s="14"/>
      <c r="D553" s="14"/>
      <c r="E553" s="1"/>
      <c r="F553" s="15"/>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row>
    <row r="554" spans="1:56" ht="16.5" customHeight="1" x14ac:dyDescent="0.3">
      <c r="A554" s="14"/>
      <c r="B554" s="14"/>
      <c r="C554" s="14"/>
      <c r="D554" s="14"/>
      <c r="E554" s="1"/>
      <c r="F554" s="15"/>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row>
    <row r="555" spans="1:56" ht="16.5" customHeight="1" x14ac:dyDescent="0.3">
      <c r="A555" s="14"/>
      <c r="B555" s="14"/>
      <c r="C555" s="14"/>
      <c r="D555" s="14"/>
      <c r="E555" s="1"/>
      <c r="F555" s="15"/>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row>
    <row r="556" spans="1:56" ht="16.5" customHeight="1" x14ac:dyDescent="0.3">
      <c r="A556" s="14"/>
      <c r="B556" s="14"/>
      <c r="C556" s="14"/>
      <c r="D556" s="14"/>
      <c r="E556" s="1"/>
      <c r="F556" s="15"/>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row>
    <row r="557" spans="1:56" ht="16.5" customHeight="1" x14ac:dyDescent="0.3">
      <c r="A557" s="14"/>
      <c r="B557" s="14"/>
      <c r="C557" s="14"/>
      <c r="D557" s="14"/>
      <c r="E557" s="1"/>
      <c r="F557" s="15"/>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row>
    <row r="558" spans="1:56" ht="16.5" customHeight="1" x14ac:dyDescent="0.3">
      <c r="A558" s="14"/>
      <c r="B558" s="14"/>
      <c r="C558" s="14"/>
      <c r="D558" s="14"/>
      <c r="E558" s="1"/>
      <c r="F558" s="15"/>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row>
    <row r="559" spans="1:56" ht="16.5" customHeight="1" x14ac:dyDescent="0.3">
      <c r="A559" s="14"/>
      <c r="B559" s="14"/>
      <c r="C559" s="14"/>
      <c r="D559" s="14"/>
      <c r="E559" s="1"/>
      <c r="F559" s="15"/>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row>
    <row r="560" spans="1:56" ht="16.5" customHeight="1" x14ac:dyDescent="0.3">
      <c r="A560" s="14"/>
      <c r="B560" s="14"/>
      <c r="C560" s="14"/>
      <c r="D560" s="14"/>
      <c r="E560" s="1"/>
      <c r="F560" s="15"/>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row>
    <row r="561" spans="1:56" ht="16.5" customHeight="1" x14ac:dyDescent="0.3">
      <c r="A561" s="14"/>
      <c r="B561" s="14"/>
      <c r="C561" s="14"/>
      <c r="D561" s="14"/>
      <c r="E561" s="1"/>
      <c r="F561" s="15"/>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row>
    <row r="562" spans="1:56" ht="16.5" customHeight="1" x14ac:dyDescent="0.3">
      <c r="A562" s="14"/>
      <c r="B562" s="14"/>
      <c r="C562" s="14"/>
      <c r="D562" s="14"/>
      <c r="E562" s="1"/>
      <c r="F562" s="15"/>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row>
    <row r="563" spans="1:56" ht="16.5" customHeight="1" x14ac:dyDescent="0.3">
      <c r="A563" s="14"/>
      <c r="B563" s="14"/>
      <c r="C563" s="14"/>
      <c r="D563" s="14"/>
      <c r="E563" s="1"/>
      <c r="F563" s="15"/>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row>
    <row r="564" spans="1:56" ht="16.5" customHeight="1" x14ac:dyDescent="0.3">
      <c r="A564" s="14"/>
      <c r="B564" s="14"/>
      <c r="C564" s="14"/>
      <c r="D564" s="14"/>
      <c r="E564" s="1"/>
      <c r="F564" s="15"/>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row>
    <row r="565" spans="1:56" ht="16.5" customHeight="1" x14ac:dyDescent="0.3">
      <c r="A565" s="14"/>
      <c r="B565" s="14"/>
      <c r="C565" s="14"/>
      <c r="D565" s="14"/>
      <c r="E565" s="1"/>
      <c r="F565" s="15"/>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row>
    <row r="566" spans="1:56" ht="16.5" customHeight="1" x14ac:dyDescent="0.3">
      <c r="A566" s="14"/>
      <c r="B566" s="14"/>
      <c r="C566" s="14"/>
      <c r="D566" s="14"/>
      <c r="E566" s="1"/>
      <c r="F566" s="15"/>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row>
    <row r="567" spans="1:56" ht="16.5" customHeight="1" x14ac:dyDescent="0.3">
      <c r="A567" s="14"/>
      <c r="B567" s="14"/>
      <c r="C567" s="14"/>
      <c r="D567" s="14"/>
      <c r="E567" s="1"/>
      <c r="F567" s="15"/>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row>
    <row r="568" spans="1:56" ht="16.5" customHeight="1" x14ac:dyDescent="0.3">
      <c r="A568" s="14"/>
      <c r="B568" s="14"/>
      <c r="C568" s="14"/>
      <c r="D568" s="14"/>
      <c r="E568" s="1"/>
      <c r="F568" s="15"/>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row>
    <row r="569" spans="1:56" ht="16.5" customHeight="1" x14ac:dyDescent="0.3">
      <c r="A569" s="14"/>
      <c r="B569" s="14"/>
      <c r="C569" s="14"/>
      <c r="D569" s="14"/>
      <c r="E569" s="1"/>
      <c r="F569" s="15"/>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row>
    <row r="570" spans="1:56" ht="16.5" customHeight="1" x14ac:dyDescent="0.3">
      <c r="A570" s="14"/>
      <c r="B570" s="14"/>
      <c r="C570" s="14"/>
      <c r="D570" s="14"/>
      <c r="E570" s="1"/>
      <c r="F570" s="15"/>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row>
    <row r="571" spans="1:56" ht="16.5" customHeight="1" x14ac:dyDescent="0.3">
      <c r="A571" s="14"/>
      <c r="B571" s="14"/>
      <c r="C571" s="14"/>
      <c r="D571" s="14"/>
      <c r="E571" s="1"/>
      <c r="F571" s="15"/>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row>
    <row r="572" spans="1:56" ht="16.5" customHeight="1" x14ac:dyDescent="0.3">
      <c r="A572" s="14"/>
      <c r="B572" s="14"/>
      <c r="C572" s="14"/>
      <c r="D572" s="14"/>
      <c r="E572" s="1"/>
      <c r="F572" s="15"/>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row>
    <row r="573" spans="1:56" ht="16.5" customHeight="1" x14ac:dyDescent="0.3">
      <c r="A573" s="14"/>
      <c r="B573" s="14"/>
      <c r="C573" s="14"/>
      <c r="D573" s="14"/>
      <c r="E573" s="1"/>
      <c r="F573" s="15"/>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row>
    <row r="574" spans="1:56" ht="16.5" customHeight="1" x14ac:dyDescent="0.3">
      <c r="A574" s="14"/>
      <c r="B574" s="14"/>
      <c r="C574" s="14"/>
      <c r="D574" s="14"/>
      <c r="E574" s="1"/>
      <c r="F574" s="15"/>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row>
    <row r="575" spans="1:56" ht="16.5" customHeight="1" x14ac:dyDescent="0.3">
      <c r="A575" s="14"/>
      <c r="B575" s="14"/>
      <c r="C575" s="14"/>
      <c r="D575" s="14"/>
      <c r="E575" s="1"/>
      <c r="F575" s="15"/>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row>
    <row r="576" spans="1:56" ht="16.5" customHeight="1" x14ac:dyDescent="0.3">
      <c r="A576" s="14"/>
      <c r="B576" s="14"/>
      <c r="C576" s="14"/>
      <c r="D576" s="14"/>
      <c r="E576" s="1"/>
      <c r="F576" s="15"/>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row>
    <row r="577" spans="1:56" ht="16.5" customHeight="1" x14ac:dyDescent="0.3">
      <c r="A577" s="14"/>
      <c r="B577" s="14"/>
      <c r="C577" s="14"/>
      <c r="D577" s="14"/>
      <c r="E577" s="1"/>
      <c r="F577" s="15"/>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row>
    <row r="578" spans="1:56" ht="16.5" customHeight="1" x14ac:dyDescent="0.3">
      <c r="A578" s="14"/>
      <c r="B578" s="14"/>
      <c r="C578" s="14"/>
      <c r="D578" s="14"/>
      <c r="E578" s="1"/>
      <c r="F578" s="15"/>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row>
    <row r="579" spans="1:56" ht="16.5" customHeight="1" x14ac:dyDescent="0.3">
      <c r="A579" s="14"/>
      <c r="B579" s="14"/>
      <c r="C579" s="14"/>
      <c r="D579" s="14"/>
      <c r="E579" s="1"/>
      <c r="F579" s="15"/>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row>
    <row r="580" spans="1:56" ht="16.5" customHeight="1" x14ac:dyDescent="0.3">
      <c r="A580" s="14"/>
      <c r="B580" s="14"/>
      <c r="C580" s="14"/>
      <c r="D580" s="14"/>
      <c r="E580" s="1"/>
      <c r="F580" s="15"/>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row>
    <row r="581" spans="1:56" ht="16.5" customHeight="1" x14ac:dyDescent="0.3">
      <c r="A581" s="14"/>
      <c r="B581" s="14"/>
      <c r="C581" s="14"/>
      <c r="D581" s="14"/>
      <c r="E581" s="1"/>
      <c r="F581" s="15"/>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row>
    <row r="582" spans="1:56" ht="16.5" customHeight="1" x14ac:dyDescent="0.3">
      <c r="A582" s="14"/>
      <c r="B582" s="14"/>
      <c r="C582" s="14"/>
      <c r="D582" s="14"/>
      <c r="E582" s="1"/>
      <c r="F582" s="15"/>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row>
    <row r="583" spans="1:56" ht="16.5" customHeight="1" x14ac:dyDescent="0.3">
      <c r="A583" s="14"/>
      <c r="B583" s="14"/>
      <c r="C583" s="14"/>
      <c r="D583" s="14"/>
      <c r="E583" s="1"/>
      <c r="F583" s="15"/>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row>
    <row r="584" spans="1:56" ht="16.5" customHeight="1" x14ac:dyDescent="0.3">
      <c r="A584" s="14"/>
      <c r="B584" s="14"/>
      <c r="C584" s="14"/>
      <c r="D584" s="14"/>
      <c r="E584" s="1"/>
      <c r="F584" s="15"/>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row>
    <row r="585" spans="1:56" ht="16.5" customHeight="1" x14ac:dyDescent="0.3">
      <c r="A585" s="14"/>
      <c r="B585" s="14"/>
      <c r="C585" s="14"/>
      <c r="D585" s="14"/>
      <c r="E585" s="1"/>
      <c r="F585" s="15"/>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row>
    <row r="586" spans="1:56" ht="16.5" customHeight="1" x14ac:dyDescent="0.3">
      <c r="A586" s="14"/>
      <c r="B586" s="14"/>
      <c r="C586" s="14"/>
      <c r="D586" s="14"/>
      <c r="E586" s="1"/>
      <c r="F586" s="15"/>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row>
    <row r="587" spans="1:56" ht="16.5" customHeight="1" x14ac:dyDescent="0.3">
      <c r="A587" s="14"/>
      <c r="B587" s="14"/>
      <c r="C587" s="14"/>
      <c r="D587" s="14"/>
      <c r="E587" s="1"/>
      <c r="F587" s="15"/>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row>
    <row r="588" spans="1:56" ht="16.5" customHeight="1" x14ac:dyDescent="0.3">
      <c r="A588" s="14"/>
      <c r="B588" s="14"/>
      <c r="C588" s="14"/>
      <c r="D588" s="14"/>
      <c r="E588" s="1"/>
      <c r="F588" s="15"/>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row>
    <row r="589" spans="1:56" ht="16.5" customHeight="1" x14ac:dyDescent="0.3">
      <c r="A589" s="14"/>
      <c r="B589" s="14"/>
      <c r="C589" s="14"/>
      <c r="D589" s="14"/>
      <c r="E589" s="1"/>
      <c r="F589" s="15"/>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row>
    <row r="590" spans="1:56" ht="16.5" customHeight="1" x14ac:dyDescent="0.3">
      <c r="A590" s="14"/>
      <c r="B590" s="14"/>
      <c r="C590" s="14"/>
      <c r="D590" s="14"/>
      <c r="E590" s="1"/>
      <c r="F590" s="15"/>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row>
    <row r="591" spans="1:56" ht="16.5" customHeight="1" x14ac:dyDescent="0.3">
      <c r="A591" s="14"/>
      <c r="B591" s="14"/>
      <c r="C591" s="14"/>
      <c r="D591" s="14"/>
      <c r="E591" s="1"/>
      <c r="F591" s="15"/>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row>
    <row r="592" spans="1:56" ht="16.5" customHeight="1" x14ac:dyDescent="0.3">
      <c r="A592" s="14"/>
      <c r="B592" s="14"/>
      <c r="C592" s="14"/>
      <c r="D592" s="14"/>
      <c r="E592" s="1"/>
      <c r="F592" s="15"/>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row>
    <row r="593" spans="1:56" ht="16.5" customHeight="1" x14ac:dyDescent="0.3">
      <c r="A593" s="14"/>
      <c r="B593" s="14"/>
      <c r="C593" s="14"/>
      <c r="D593" s="14"/>
      <c r="E593" s="1"/>
      <c r="F593" s="15"/>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row>
    <row r="594" spans="1:56" ht="16.5" customHeight="1" x14ac:dyDescent="0.3">
      <c r="A594" s="14"/>
      <c r="B594" s="14"/>
      <c r="C594" s="14"/>
      <c r="D594" s="14"/>
      <c r="E594" s="1"/>
      <c r="F594" s="15"/>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row>
    <row r="595" spans="1:56" ht="16.5" customHeight="1" x14ac:dyDescent="0.3">
      <c r="A595" s="14"/>
      <c r="B595" s="14"/>
      <c r="C595" s="14"/>
      <c r="D595" s="14"/>
      <c r="E595" s="1"/>
      <c r="F595" s="15"/>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row>
    <row r="596" spans="1:56" ht="16.5" customHeight="1" x14ac:dyDescent="0.3">
      <c r="A596" s="14"/>
      <c r="B596" s="14"/>
      <c r="C596" s="14"/>
      <c r="D596" s="14"/>
      <c r="E596" s="1"/>
      <c r="F596" s="15"/>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row>
    <row r="597" spans="1:56" ht="16.5" customHeight="1" x14ac:dyDescent="0.3">
      <c r="A597" s="14"/>
      <c r="B597" s="14"/>
      <c r="C597" s="14"/>
      <c r="D597" s="14"/>
      <c r="E597" s="1"/>
      <c r="F597" s="15"/>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row>
    <row r="598" spans="1:56" ht="16.5" customHeight="1" x14ac:dyDescent="0.3">
      <c r="A598" s="14"/>
      <c r="B598" s="14"/>
      <c r="C598" s="14"/>
      <c r="D598" s="14"/>
      <c r="E598" s="1"/>
      <c r="F598" s="15"/>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row>
    <row r="599" spans="1:56" ht="16.5" customHeight="1" x14ac:dyDescent="0.3">
      <c r="A599" s="14"/>
      <c r="B599" s="14"/>
      <c r="C599" s="14"/>
      <c r="D599" s="14"/>
      <c r="E599" s="1"/>
      <c r="F599" s="15"/>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row>
    <row r="600" spans="1:56" ht="16.5" customHeight="1" x14ac:dyDescent="0.3">
      <c r="A600" s="14"/>
      <c r="B600" s="14"/>
      <c r="C600" s="14"/>
      <c r="D600" s="14"/>
      <c r="E600" s="1"/>
      <c r="F600" s="15"/>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row>
    <row r="601" spans="1:56" ht="16.5" customHeight="1" x14ac:dyDescent="0.3">
      <c r="A601" s="14"/>
      <c r="B601" s="14"/>
      <c r="C601" s="14"/>
      <c r="D601" s="14"/>
      <c r="E601" s="1"/>
      <c r="F601" s="15"/>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row>
    <row r="602" spans="1:56" ht="16.5" customHeight="1" x14ac:dyDescent="0.3">
      <c r="A602" s="14"/>
      <c r="B602" s="14"/>
      <c r="C602" s="14"/>
      <c r="D602" s="14"/>
      <c r="E602" s="1"/>
      <c r="F602" s="15"/>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row>
    <row r="603" spans="1:56" ht="16.5" customHeight="1" x14ac:dyDescent="0.3">
      <c r="A603" s="14"/>
      <c r="B603" s="14"/>
      <c r="C603" s="14"/>
      <c r="D603" s="14"/>
      <c r="E603" s="1"/>
      <c r="F603" s="15"/>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row>
    <row r="604" spans="1:56" ht="16.5" customHeight="1" x14ac:dyDescent="0.3">
      <c r="A604" s="14"/>
      <c r="B604" s="14"/>
      <c r="C604" s="14"/>
      <c r="D604" s="14"/>
      <c r="E604" s="1"/>
      <c r="F604" s="15"/>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row>
    <row r="605" spans="1:56" ht="16.5" customHeight="1" x14ac:dyDescent="0.3">
      <c r="A605" s="14"/>
      <c r="B605" s="14"/>
      <c r="C605" s="14"/>
      <c r="D605" s="14"/>
      <c r="E605" s="1"/>
      <c r="F605" s="15"/>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row>
    <row r="606" spans="1:56" ht="16.5" customHeight="1" x14ac:dyDescent="0.3">
      <c r="A606" s="14"/>
      <c r="B606" s="14"/>
      <c r="C606" s="14"/>
      <c r="D606" s="14"/>
      <c r="E606" s="1"/>
      <c r="F606" s="15"/>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row>
    <row r="607" spans="1:56" ht="16.5" customHeight="1" x14ac:dyDescent="0.3">
      <c r="A607" s="14"/>
      <c r="B607" s="14"/>
      <c r="C607" s="14"/>
      <c r="D607" s="14"/>
      <c r="E607" s="1"/>
      <c r="F607" s="15"/>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row>
    <row r="608" spans="1:56" ht="16.5" customHeight="1" x14ac:dyDescent="0.3">
      <c r="A608" s="14"/>
      <c r="B608" s="14"/>
      <c r="C608" s="14"/>
      <c r="D608" s="14"/>
      <c r="E608" s="1"/>
      <c r="F608" s="15"/>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row>
    <row r="609" spans="1:56" ht="16.5" customHeight="1" x14ac:dyDescent="0.3">
      <c r="A609" s="14"/>
      <c r="B609" s="14"/>
      <c r="C609" s="14"/>
      <c r="D609" s="14"/>
      <c r="E609" s="1"/>
      <c r="F609" s="15"/>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row>
    <row r="610" spans="1:56" ht="16.5" customHeight="1" x14ac:dyDescent="0.3">
      <c r="A610" s="14"/>
      <c r="B610" s="14"/>
      <c r="C610" s="14"/>
      <c r="D610" s="14"/>
      <c r="E610" s="1"/>
      <c r="F610" s="15"/>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row>
    <row r="611" spans="1:56" ht="16.5" customHeight="1" x14ac:dyDescent="0.3">
      <c r="A611" s="14"/>
      <c r="B611" s="14"/>
      <c r="C611" s="14"/>
      <c r="D611" s="14"/>
      <c r="E611" s="1"/>
      <c r="F611" s="15"/>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row>
    <row r="612" spans="1:56" ht="16.5" customHeight="1" x14ac:dyDescent="0.3">
      <c r="A612" s="14"/>
      <c r="B612" s="14"/>
      <c r="C612" s="14"/>
      <c r="D612" s="14"/>
      <c r="E612" s="1"/>
      <c r="F612" s="15"/>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row>
    <row r="613" spans="1:56" ht="16.5" customHeight="1" x14ac:dyDescent="0.3">
      <c r="A613" s="14"/>
      <c r="B613" s="14"/>
      <c r="C613" s="14"/>
      <c r="D613" s="14"/>
      <c r="E613" s="1"/>
      <c r="F613" s="15"/>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row>
    <row r="614" spans="1:56" ht="16.5" customHeight="1" x14ac:dyDescent="0.3">
      <c r="A614" s="14"/>
      <c r="B614" s="14"/>
      <c r="C614" s="14"/>
      <c r="D614" s="14"/>
      <c r="E614" s="1"/>
      <c r="F614" s="15"/>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row>
    <row r="615" spans="1:56" ht="16.5" customHeight="1" x14ac:dyDescent="0.3">
      <c r="A615" s="14"/>
      <c r="B615" s="14"/>
      <c r="C615" s="14"/>
      <c r="D615" s="14"/>
      <c r="E615" s="1"/>
      <c r="F615" s="15"/>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row>
    <row r="616" spans="1:56" ht="16.5" customHeight="1" x14ac:dyDescent="0.3">
      <c r="A616" s="14"/>
      <c r="B616" s="14"/>
      <c r="C616" s="14"/>
      <c r="D616" s="14"/>
      <c r="E616" s="1"/>
      <c r="F616" s="15"/>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row>
    <row r="617" spans="1:56" ht="16.5" customHeight="1" x14ac:dyDescent="0.3">
      <c r="A617" s="14"/>
      <c r="B617" s="14"/>
      <c r="C617" s="14"/>
      <c r="D617" s="14"/>
      <c r="E617" s="1"/>
      <c r="F617" s="15"/>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row>
    <row r="618" spans="1:56" ht="16.5" customHeight="1" x14ac:dyDescent="0.3">
      <c r="A618" s="14"/>
      <c r="B618" s="14"/>
      <c r="C618" s="14"/>
      <c r="D618" s="14"/>
      <c r="E618" s="1"/>
      <c r="F618" s="15"/>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row>
    <row r="619" spans="1:56" ht="16.5" customHeight="1" x14ac:dyDescent="0.3">
      <c r="A619" s="14"/>
      <c r="B619" s="14"/>
      <c r="C619" s="14"/>
      <c r="D619" s="14"/>
      <c r="E619" s="1"/>
      <c r="F619" s="15"/>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row>
    <row r="620" spans="1:56" ht="16.5" customHeight="1" x14ac:dyDescent="0.3">
      <c r="A620" s="14"/>
      <c r="B620" s="14"/>
      <c r="C620" s="14"/>
      <c r="D620" s="14"/>
      <c r="E620" s="1"/>
      <c r="F620" s="15"/>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row>
    <row r="621" spans="1:56" ht="16.5" customHeight="1" x14ac:dyDescent="0.3">
      <c r="A621" s="14"/>
      <c r="B621" s="14"/>
      <c r="C621" s="14"/>
      <c r="D621" s="14"/>
      <c r="E621" s="1"/>
      <c r="F621" s="15"/>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row>
    <row r="622" spans="1:56" ht="16.5" customHeight="1" x14ac:dyDescent="0.3">
      <c r="A622" s="14"/>
      <c r="B622" s="14"/>
      <c r="C622" s="14"/>
      <c r="D622" s="14"/>
      <c r="E622" s="1"/>
      <c r="F622" s="15"/>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row>
    <row r="623" spans="1:56" ht="16.5" customHeight="1" x14ac:dyDescent="0.3">
      <c r="A623" s="14"/>
      <c r="B623" s="14"/>
      <c r="C623" s="14"/>
      <c r="D623" s="14"/>
      <c r="E623" s="1"/>
      <c r="F623" s="15"/>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row>
    <row r="624" spans="1:56" ht="16.5" customHeight="1" x14ac:dyDescent="0.3">
      <c r="A624" s="14"/>
      <c r="B624" s="14"/>
      <c r="C624" s="14"/>
      <c r="D624" s="14"/>
      <c r="E624" s="1"/>
      <c r="F624" s="15"/>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row>
    <row r="625" spans="1:56" ht="16.5" customHeight="1" x14ac:dyDescent="0.3">
      <c r="A625" s="14"/>
      <c r="B625" s="14"/>
      <c r="C625" s="14"/>
      <c r="D625" s="14"/>
      <c r="E625" s="1"/>
      <c r="F625" s="15"/>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row>
    <row r="626" spans="1:56" ht="16.5" customHeight="1" x14ac:dyDescent="0.3">
      <c r="A626" s="14"/>
      <c r="B626" s="14"/>
      <c r="C626" s="14"/>
      <c r="D626" s="14"/>
      <c r="E626" s="1"/>
      <c r="F626" s="15"/>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row>
    <row r="627" spans="1:56" ht="16.5" customHeight="1" x14ac:dyDescent="0.3">
      <c r="A627" s="14"/>
      <c r="B627" s="14"/>
      <c r="C627" s="14"/>
      <c r="D627" s="14"/>
      <c r="E627" s="1"/>
      <c r="F627" s="15"/>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row>
    <row r="628" spans="1:56" ht="16.5" customHeight="1" x14ac:dyDescent="0.3">
      <c r="A628" s="14"/>
      <c r="B628" s="14"/>
      <c r="C628" s="14"/>
      <c r="D628" s="14"/>
      <c r="E628" s="1"/>
      <c r="F628" s="15"/>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row>
    <row r="629" spans="1:56" ht="16.5" customHeight="1" x14ac:dyDescent="0.3">
      <c r="A629" s="14"/>
      <c r="B629" s="14"/>
      <c r="C629" s="14"/>
      <c r="D629" s="14"/>
      <c r="E629" s="1"/>
      <c r="F629" s="15"/>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row>
    <row r="630" spans="1:56" ht="16.5" customHeight="1" x14ac:dyDescent="0.3">
      <c r="A630" s="14"/>
      <c r="B630" s="14"/>
      <c r="C630" s="14"/>
      <c r="D630" s="14"/>
      <c r="E630" s="1"/>
      <c r="F630" s="15"/>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row>
    <row r="631" spans="1:56" ht="16.5" customHeight="1" x14ac:dyDescent="0.3">
      <c r="A631" s="14"/>
      <c r="B631" s="14"/>
      <c r="C631" s="14"/>
      <c r="D631" s="14"/>
      <c r="E631" s="1"/>
      <c r="F631" s="15"/>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row>
    <row r="632" spans="1:56" ht="16.5" customHeight="1" x14ac:dyDescent="0.3">
      <c r="A632" s="14"/>
      <c r="B632" s="14"/>
      <c r="C632" s="14"/>
      <c r="D632" s="14"/>
      <c r="E632" s="1"/>
      <c r="F632" s="15"/>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row>
    <row r="633" spans="1:56" ht="16.5" customHeight="1" x14ac:dyDescent="0.3">
      <c r="A633" s="14"/>
      <c r="B633" s="14"/>
      <c r="C633" s="14"/>
      <c r="D633" s="14"/>
      <c r="E633" s="1"/>
      <c r="F633" s="15"/>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row>
    <row r="634" spans="1:56" ht="16.5" customHeight="1" x14ac:dyDescent="0.3">
      <c r="A634" s="14"/>
      <c r="B634" s="14"/>
      <c r="C634" s="14"/>
      <c r="D634" s="14"/>
      <c r="E634" s="1"/>
      <c r="F634" s="15"/>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row>
    <row r="635" spans="1:56" ht="16.5" customHeight="1" x14ac:dyDescent="0.3">
      <c r="A635" s="14"/>
      <c r="B635" s="14"/>
      <c r="C635" s="14"/>
      <c r="D635" s="14"/>
      <c r="E635" s="1"/>
      <c r="F635" s="15"/>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row>
    <row r="636" spans="1:56" ht="16.5" customHeight="1" x14ac:dyDescent="0.3">
      <c r="A636" s="14"/>
      <c r="B636" s="14"/>
      <c r="C636" s="14"/>
      <c r="D636" s="14"/>
      <c r="E636" s="1"/>
      <c r="F636" s="15"/>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row>
    <row r="637" spans="1:56" ht="16.5" customHeight="1" x14ac:dyDescent="0.3">
      <c r="A637" s="14"/>
      <c r="B637" s="14"/>
      <c r="C637" s="14"/>
      <c r="D637" s="14"/>
      <c r="E637" s="1"/>
      <c r="F637" s="15"/>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row>
    <row r="638" spans="1:56" ht="16.5" customHeight="1" x14ac:dyDescent="0.3">
      <c r="A638" s="14"/>
      <c r="B638" s="14"/>
      <c r="C638" s="14"/>
      <c r="D638" s="14"/>
      <c r="E638" s="1"/>
      <c r="F638" s="15"/>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row>
    <row r="639" spans="1:56" ht="16.5" customHeight="1" x14ac:dyDescent="0.3">
      <c r="A639" s="14"/>
      <c r="B639" s="14"/>
      <c r="C639" s="14"/>
      <c r="D639" s="14"/>
      <c r="E639" s="1"/>
      <c r="F639" s="15"/>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row>
    <row r="640" spans="1:56" ht="16.5" customHeight="1" x14ac:dyDescent="0.3">
      <c r="A640" s="14"/>
      <c r="B640" s="14"/>
      <c r="C640" s="14"/>
      <c r="D640" s="14"/>
      <c r="E640" s="1"/>
      <c r="F640" s="15"/>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row>
    <row r="641" spans="1:56" ht="16.5" customHeight="1" x14ac:dyDescent="0.3">
      <c r="A641" s="14"/>
      <c r="B641" s="14"/>
      <c r="C641" s="14"/>
      <c r="D641" s="14"/>
      <c r="E641" s="1"/>
      <c r="F641" s="15"/>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row>
    <row r="642" spans="1:56" ht="16.5" customHeight="1" x14ac:dyDescent="0.3">
      <c r="A642" s="14"/>
      <c r="B642" s="14"/>
      <c r="C642" s="14"/>
      <c r="D642" s="14"/>
      <c r="E642" s="1"/>
      <c r="F642" s="15"/>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row>
    <row r="643" spans="1:56" ht="16.5" customHeight="1" x14ac:dyDescent="0.3">
      <c r="A643" s="14"/>
      <c r="B643" s="14"/>
      <c r="C643" s="14"/>
      <c r="D643" s="14"/>
      <c r="E643" s="1"/>
      <c r="F643" s="15"/>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row>
    <row r="644" spans="1:56" ht="16.5" customHeight="1" x14ac:dyDescent="0.3">
      <c r="A644" s="14"/>
      <c r="B644" s="14"/>
      <c r="C644" s="14"/>
      <c r="D644" s="14"/>
      <c r="E644" s="1"/>
      <c r="F644" s="15"/>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row>
    <row r="645" spans="1:56" ht="16.5" customHeight="1" x14ac:dyDescent="0.3">
      <c r="A645" s="14"/>
      <c r="B645" s="14"/>
      <c r="C645" s="14"/>
      <c r="D645" s="14"/>
      <c r="E645" s="1"/>
      <c r="F645" s="15"/>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row>
    <row r="646" spans="1:56" ht="16.5" customHeight="1" x14ac:dyDescent="0.3">
      <c r="A646" s="14"/>
      <c r="B646" s="14"/>
      <c r="C646" s="14"/>
      <c r="D646" s="14"/>
      <c r="E646" s="1"/>
      <c r="F646" s="15"/>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row>
    <row r="647" spans="1:56" ht="16.5" customHeight="1" x14ac:dyDescent="0.3">
      <c r="A647" s="14"/>
      <c r="B647" s="14"/>
      <c r="C647" s="14"/>
      <c r="D647" s="14"/>
      <c r="E647" s="1"/>
      <c r="F647" s="15"/>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row>
    <row r="648" spans="1:56" ht="16.5" customHeight="1" x14ac:dyDescent="0.3">
      <c r="A648" s="14"/>
      <c r="B648" s="14"/>
      <c r="C648" s="14"/>
      <c r="D648" s="14"/>
      <c r="E648" s="1"/>
      <c r="F648" s="15"/>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row>
    <row r="649" spans="1:56" ht="16.5" customHeight="1" x14ac:dyDescent="0.3">
      <c r="A649" s="14"/>
      <c r="B649" s="14"/>
      <c r="C649" s="14"/>
      <c r="D649" s="14"/>
      <c r="E649" s="1"/>
      <c r="F649" s="15"/>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row>
    <row r="650" spans="1:56" ht="16.5" customHeight="1" x14ac:dyDescent="0.3">
      <c r="A650" s="14"/>
      <c r="B650" s="14"/>
      <c r="C650" s="14"/>
      <c r="D650" s="14"/>
      <c r="E650" s="1"/>
      <c r="F650" s="15"/>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row>
    <row r="651" spans="1:56" ht="16.5" customHeight="1" x14ac:dyDescent="0.3">
      <c r="A651" s="14"/>
      <c r="B651" s="14"/>
      <c r="C651" s="14"/>
      <c r="D651" s="14"/>
      <c r="E651" s="1"/>
      <c r="F651" s="15"/>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row>
    <row r="652" spans="1:56" ht="16.5" customHeight="1" x14ac:dyDescent="0.3">
      <c r="A652" s="14"/>
      <c r="B652" s="14"/>
      <c r="C652" s="14"/>
      <c r="D652" s="14"/>
      <c r="E652" s="1"/>
      <c r="F652" s="15"/>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row>
    <row r="653" spans="1:56" ht="16.5" customHeight="1" x14ac:dyDescent="0.3">
      <c r="A653" s="14"/>
      <c r="B653" s="14"/>
      <c r="C653" s="14"/>
      <c r="D653" s="14"/>
      <c r="E653" s="1"/>
      <c r="F653" s="15"/>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row>
    <row r="654" spans="1:56" ht="16.5" customHeight="1" x14ac:dyDescent="0.3">
      <c r="A654" s="14"/>
      <c r="B654" s="14"/>
      <c r="C654" s="14"/>
      <c r="D654" s="14"/>
      <c r="E654" s="1"/>
      <c r="F654" s="15"/>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row>
    <row r="655" spans="1:56" ht="16.5" customHeight="1" x14ac:dyDescent="0.3">
      <c r="A655" s="14"/>
      <c r="B655" s="14"/>
      <c r="C655" s="14"/>
      <c r="D655" s="14"/>
      <c r="E655" s="1"/>
      <c r="F655" s="15"/>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row>
    <row r="656" spans="1:56" ht="16.5" customHeight="1" x14ac:dyDescent="0.3">
      <c r="A656" s="14"/>
      <c r="B656" s="14"/>
      <c r="C656" s="14"/>
      <c r="D656" s="14"/>
      <c r="E656" s="1"/>
      <c r="F656" s="15"/>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row>
    <row r="657" spans="1:56" ht="16.5" customHeight="1" x14ac:dyDescent="0.3">
      <c r="A657" s="14"/>
      <c r="B657" s="14"/>
      <c r="C657" s="14"/>
      <c r="D657" s="14"/>
      <c r="E657" s="1"/>
      <c r="F657" s="15"/>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row>
    <row r="658" spans="1:56" ht="16.5" customHeight="1" x14ac:dyDescent="0.3">
      <c r="A658" s="14"/>
      <c r="B658" s="14"/>
      <c r="C658" s="14"/>
      <c r="D658" s="14"/>
      <c r="E658" s="1"/>
      <c r="F658" s="15"/>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row>
    <row r="659" spans="1:56" ht="16.5" customHeight="1" x14ac:dyDescent="0.3">
      <c r="A659" s="14"/>
      <c r="B659" s="14"/>
      <c r="C659" s="14"/>
      <c r="D659" s="14"/>
      <c r="E659" s="1"/>
      <c r="F659" s="15"/>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row>
    <row r="660" spans="1:56" ht="16.5" customHeight="1" x14ac:dyDescent="0.3">
      <c r="A660" s="14"/>
      <c r="B660" s="14"/>
      <c r="C660" s="14"/>
      <c r="D660" s="14"/>
      <c r="E660" s="1"/>
      <c r="F660" s="15"/>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row>
    <row r="661" spans="1:56" ht="16.5" customHeight="1" x14ac:dyDescent="0.3">
      <c r="A661" s="14"/>
      <c r="B661" s="14"/>
      <c r="C661" s="14"/>
      <c r="D661" s="14"/>
      <c r="E661" s="1"/>
      <c r="F661" s="15"/>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row>
    <row r="662" spans="1:56" ht="16.5" customHeight="1" x14ac:dyDescent="0.3">
      <c r="A662" s="14"/>
      <c r="B662" s="14"/>
      <c r="C662" s="14"/>
      <c r="D662" s="14"/>
      <c r="E662" s="1"/>
      <c r="F662" s="15"/>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row>
    <row r="663" spans="1:56" ht="16.5" customHeight="1" x14ac:dyDescent="0.3">
      <c r="A663" s="14"/>
      <c r="B663" s="14"/>
      <c r="C663" s="14"/>
      <c r="D663" s="14"/>
      <c r="E663" s="1"/>
      <c r="F663" s="15"/>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row>
    <row r="664" spans="1:56" ht="16.5" customHeight="1" x14ac:dyDescent="0.3">
      <c r="A664" s="14"/>
      <c r="B664" s="14"/>
      <c r="C664" s="14"/>
      <c r="D664" s="14"/>
      <c r="E664" s="1"/>
      <c r="F664" s="15"/>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row>
    <row r="665" spans="1:56" ht="16.5" customHeight="1" x14ac:dyDescent="0.3">
      <c r="A665" s="14"/>
      <c r="B665" s="14"/>
      <c r="C665" s="14"/>
      <c r="D665" s="14"/>
      <c r="E665" s="1"/>
      <c r="F665" s="15"/>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row>
    <row r="666" spans="1:56" ht="16.5" customHeight="1" x14ac:dyDescent="0.3">
      <c r="A666" s="14"/>
      <c r="B666" s="14"/>
      <c r="C666" s="14"/>
      <c r="D666" s="14"/>
      <c r="E666" s="1"/>
      <c r="F666" s="15"/>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row>
    <row r="667" spans="1:56" ht="16.5" customHeight="1" x14ac:dyDescent="0.3">
      <c r="A667" s="14"/>
      <c r="B667" s="14"/>
      <c r="C667" s="14"/>
      <c r="D667" s="14"/>
      <c r="E667" s="1"/>
      <c r="F667" s="15"/>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row>
    <row r="668" spans="1:56" ht="16.5" customHeight="1" x14ac:dyDescent="0.3">
      <c r="A668" s="14"/>
      <c r="B668" s="14"/>
      <c r="C668" s="14"/>
      <c r="D668" s="14"/>
      <c r="E668" s="1"/>
      <c r="F668" s="15"/>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row>
    <row r="669" spans="1:56" ht="16.5" customHeight="1" x14ac:dyDescent="0.3">
      <c r="A669" s="14"/>
      <c r="B669" s="14"/>
      <c r="C669" s="14"/>
      <c r="D669" s="14"/>
      <c r="E669" s="1"/>
      <c r="F669" s="15"/>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row>
    <row r="670" spans="1:56" ht="16.5" customHeight="1" x14ac:dyDescent="0.3">
      <c r="A670" s="14"/>
      <c r="B670" s="14"/>
      <c r="C670" s="14"/>
      <c r="D670" s="14"/>
      <c r="E670" s="1"/>
      <c r="F670" s="15"/>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row>
    <row r="671" spans="1:56" ht="16.5" customHeight="1" x14ac:dyDescent="0.3">
      <c r="A671" s="14"/>
      <c r="B671" s="14"/>
      <c r="C671" s="14"/>
      <c r="D671" s="14"/>
      <c r="E671" s="1"/>
      <c r="F671" s="15"/>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row>
    <row r="672" spans="1:56" ht="16.5" customHeight="1" x14ac:dyDescent="0.3">
      <c r="A672" s="14"/>
      <c r="B672" s="14"/>
      <c r="C672" s="14"/>
      <c r="D672" s="14"/>
      <c r="E672" s="1"/>
      <c r="F672" s="15"/>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row>
    <row r="673" spans="1:56" ht="16.5" customHeight="1" x14ac:dyDescent="0.3">
      <c r="A673" s="14"/>
      <c r="B673" s="14"/>
      <c r="C673" s="14"/>
      <c r="D673" s="14"/>
      <c r="E673" s="1"/>
      <c r="F673" s="15"/>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row>
    <row r="674" spans="1:56" ht="16.5" customHeight="1" x14ac:dyDescent="0.3">
      <c r="A674" s="14"/>
      <c r="B674" s="14"/>
      <c r="C674" s="14"/>
      <c r="D674" s="14"/>
      <c r="E674" s="1"/>
      <c r="F674" s="15"/>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row>
    <row r="675" spans="1:56" ht="16.5" customHeight="1" x14ac:dyDescent="0.3">
      <c r="A675" s="14"/>
      <c r="B675" s="14"/>
      <c r="C675" s="14"/>
      <c r="D675" s="14"/>
      <c r="E675" s="1"/>
      <c r="F675" s="15"/>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row>
    <row r="676" spans="1:56" ht="16.5" customHeight="1" x14ac:dyDescent="0.3">
      <c r="A676" s="14"/>
      <c r="B676" s="14"/>
      <c r="C676" s="14"/>
      <c r="D676" s="14"/>
      <c r="E676" s="1"/>
      <c r="F676" s="15"/>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row>
    <row r="677" spans="1:56" ht="16.5" customHeight="1" x14ac:dyDescent="0.3">
      <c r="A677" s="14"/>
      <c r="B677" s="14"/>
      <c r="C677" s="14"/>
      <c r="D677" s="14"/>
      <c r="E677" s="1"/>
      <c r="F677" s="15"/>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row>
    <row r="678" spans="1:56" ht="16.5" customHeight="1" x14ac:dyDescent="0.3">
      <c r="A678" s="14"/>
      <c r="B678" s="14"/>
      <c r="C678" s="14"/>
      <c r="D678" s="14"/>
      <c r="E678" s="1"/>
      <c r="F678" s="15"/>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row>
    <row r="679" spans="1:56" ht="16.5" customHeight="1" x14ac:dyDescent="0.3">
      <c r="A679" s="14"/>
      <c r="B679" s="14"/>
      <c r="C679" s="14"/>
      <c r="D679" s="14"/>
      <c r="E679" s="1"/>
      <c r="F679" s="15"/>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row>
    <row r="680" spans="1:56" ht="16.5" customHeight="1" x14ac:dyDescent="0.3">
      <c r="A680" s="14"/>
      <c r="B680" s="14"/>
      <c r="C680" s="14"/>
      <c r="D680" s="14"/>
      <c r="E680" s="1"/>
      <c r="F680" s="15"/>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row>
    <row r="681" spans="1:56" ht="16.5" customHeight="1" x14ac:dyDescent="0.3">
      <c r="A681" s="14"/>
      <c r="B681" s="14"/>
      <c r="C681" s="14"/>
      <c r="D681" s="14"/>
      <c r="E681" s="1"/>
      <c r="F681" s="15"/>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row>
    <row r="682" spans="1:56" ht="16.5" customHeight="1" x14ac:dyDescent="0.3">
      <c r="A682" s="14"/>
      <c r="B682" s="14"/>
      <c r="C682" s="14"/>
      <c r="D682" s="14"/>
      <c r="E682" s="1"/>
      <c r="F682" s="15"/>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row>
    <row r="683" spans="1:56" ht="16.5" customHeight="1" x14ac:dyDescent="0.3">
      <c r="A683" s="14"/>
      <c r="B683" s="14"/>
      <c r="C683" s="14"/>
      <c r="D683" s="14"/>
      <c r="E683" s="1"/>
      <c r="F683" s="15"/>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row>
    <row r="684" spans="1:56" ht="16.5" customHeight="1" x14ac:dyDescent="0.3">
      <c r="A684" s="14"/>
      <c r="B684" s="14"/>
      <c r="C684" s="14"/>
      <c r="D684" s="14"/>
      <c r="E684" s="1"/>
      <c r="F684" s="15"/>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row>
    <row r="685" spans="1:56" ht="16.5" customHeight="1" x14ac:dyDescent="0.3">
      <c r="A685" s="14"/>
      <c r="B685" s="14"/>
      <c r="C685" s="14"/>
      <c r="D685" s="14"/>
      <c r="E685" s="1"/>
      <c r="F685" s="15"/>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row>
    <row r="686" spans="1:56" ht="16.5" customHeight="1" x14ac:dyDescent="0.3">
      <c r="A686" s="14"/>
      <c r="B686" s="14"/>
      <c r="C686" s="14"/>
      <c r="D686" s="14"/>
      <c r="E686" s="1"/>
      <c r="F686" s="15"/>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row>
    <row r="687" spans="1:56" ht="16.5" customHeight="1" x14ac:dyDescent="0.3">
      <c r="A687" s="14"/>
      <c r="B687" s="14"/>
      <c r="C687" s="14"/>
      <c r="D687" s="14"/>
      <c r="E687" s="1"/>
      <c r="F687" s="15"/>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row>
    <row r="688" spans="1:56" ht="16.5" customHeight="1" x14ac:dyDescent="0.3">
      <c r="A688" s="14"/>
      <c r="B688" s="14"/>
      <c r="C688" s="14"/>
      <c r="D688" s="14"/>
      <c r="E688" s="1"/>
      <c r="F688" s="15"/>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row>
    <row r="689" spans="1:56" ht="16.5" customHeight="1" x14ac:dyDescent="0.3">
      <c r="A689" s="14"/>
      <c r="B689" s="14"/>
      <c r="C689" s="14"/>
      <c r="D689" s="14"/>
      <c r="E689" s="1"/>
      <c r="F689" s="15"/>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row>
    <row r="690" spans="1:56" ht="16.5" customHeight="1" x14ac:dyDescent="0.3">
      <c r="A690" s="14"/>
      <c r="B690" s="14"/>
      <c r="C690" s="14"/>
      <c r="D690" s="14"/>
      <c r="E690" s="1"/>
      <c r="F690" s="15"/>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row>
    <row r="691" spans="1:56" ht="16.5" customHeight="1" x14ac:dyDescent="0.3">
      <c r="A691" s="14"/>
      <c r="B691" s="14"/>
      <c r="C691" s="14"/>
      <c r="D691" s="14"/>
      <c r="E691" s="1"/>
      <c r="F691" s="15"/>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row>
    <row r="692" spans="1:56" ht="16.5" customHeight="1" x14ac:dyDescent="0.3">
      <c r="A692" s="14"/>
      <c r="B692" s="14"/>
      <c r="C692" s="14"/>
      <c r="D692" s="14"/>
      <c r="E692" s="1"/>
      <c r="F692" s="15"/>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row>
    <row r="693" spans="1:56" ht="16.5" customHeight="1" x14ac:dyDescent="0.3">
      <c r="A693" s="14"/>
      <c r="B693" s="14"/>
      <c r="C693" s="14"/>
      <c r="D693" s="14"/>
      <c r="E693" s="1"/>
      <c r="F693" s="15"/>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row>
    <row r="694" spans="1:56" ht="16.5" customHeight="1" x14ac:dyDescent="0.3">
      <c r="A694" s="14"/>
      <c r="B694" s="14"/>
      <c r="C694" s="14"/>
      <c r="D694" s="14"/>
      <c r="E694" s="1"/>
      <c r="F694" s="15"/>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row>
    <row r="695" spans="1:56" ht="16.5" customHeight="1" x14ac:dyDescent="0.3">
      <c r="A695" s="14"/>
      <c r="B695" s="14"/>
      <c r="C695" s="14"/>
      <c r="D695" s="14"/>
      <c r="E695" s="1"/>
      <c r="F695" s="15"/>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row>
    <row r="696" spans="1:56" ht="16.5" customHeight="1" x14ac:dyDescent="0.3">
      <c r="A696" s="14"/>
      <c r="B696" s="14"/>
      <c r="C696" s="14"/>
      <c r="D696" s="14"/>
      <c r="E696" s="1"/>
      <c r="F696" s="15"/>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row>
    <row r="697" spans="1:56" ht="16.5" customHeight="1" x14ac:dyDescent="0.3">
      <c r="A697" s="14"/>
      <c r="B697" s="14"/>
      <c r="C697" s="14"/>
      <c r="D697" s="14"/>
      <c r="E697" s="1"/>
      <c r="F697" s="15"/>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row>
    <row r="698" spans="1:56" ht="16.5" customHeight="1" x14ac:dyDescent="0.3">
      <c r="A698" s="14"/>
      <c r="B698" s="14"/>
      <c r="C698" s="14"/>
      <c r="D698" s="14"/>
      <c r="E698" s="1"/>
      <c r="F698" s="15"/>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row>
    <row r="699" spans="1:56" ht="16.5" customHeight="1" x14ac:dyDescent="0.3">
      <c r="A699" s="14"/>
      <c r="B699" s="14"/>
      <c r="C699" s="14"/>
      <c r="D699" s="14"/>
      <c r="E699" s="1"/>
      <c r="F699" s="15"/>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row>
    <row r="700" spans="1:56" ht="16.5" customHeight="1" x14ac:dyDescent="0.3">
      <c r="A700" s="14"/>
      <c r="B700" s="14"/>
      <c r="C700" s="14"/>
      <c r="D700" s="14"/>
      <c r="E700" s="1"/>
      <c r="F700" s="15"/>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row>
    <row r="701" spans="1:56" ht="16.5" customHeight="1" x14ac:dyDescent="0.3">
      <c r="A701" s="14"/>
      <c r="B701" s="14"/>
      <c r="C701" s="14"/>
      <c r="D701" s="14"/>
      <c r="E701" s="1"/>
      <c r="F701" s="15"/>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row>
    <row r="702" spans="1:56" ht="16.5" customHeight="1" x14ac:dyDescent="0.3">
      <c r="A702" s="14"/>
      <c r="B702" s="14"/>
      <c r="C702" s="14"/>
      <c r="D702" s="14"/>
      <c r="E702" s="1"/>
      <c r="F702" s="15"/>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row>
    <row r="703" spans="1:56" ht="16.5" customHeight="1" x14ac:dyDescent="0.3">
      <c r="A703" s="14"/>
      <c r="B703" s="14"/>
      <c r="C703" s="14"/>
      <c r="D703" s="14"/>
      <c r="E703" s="1"/>
      <c r="F703" s="15"/>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row>
    <row r="704" spans="1:56" ht="16.5" customHeight="1" x14ac:dyDescent="0.3">
      <c r="A704" s="14"/>
      <c r="B704" s="14"/>
      <c r="C704" s="14"/>
      <c r="D704" s="14"/>
      <c r="E704" s="1"/>
      <c r="F704" s="15"/>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row>
    <row r="705" spans="1:56" ht="16.5" customHeight="1" x14ac:dyDescent="0.3">
      <c r="A705" s="14"/>
      <c r="B705" s="14"/>
      <c r="C705" s="14"/>
      <c r="D705" s="14"/>
      <c r="E705" s="1"/>
      <c r="F705" s="15"/>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row>
    <row r="706" spans="1:56" ht="16.5" customHeight="1" x14ac:dyDescent="0.3">
      <c r="A706" s="14"/>
      <c r="B706" s="14"/>
      <c r="C706" s="14"/>
      <c r="D706" s="14"/>
      <c r="E706" s="1"/>
      <c r="F706" s="15"/>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row>
    <row r="707" spans="1:56" ht="16.5" customHeight="1" x14ac:dyDescent="0.3">
      <c r="A707" s="14"/>
      <c r="B707" s="14"/>
      <c r="C707" s="14"/>
      <c r="D707" s="14"/>
      <c r="E707" s="1"/>
      <c r="F707" s="15"/>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row>
    <row r="708" spans="1:56" ht="16.5" customHeight="1" x14ac:dyDescent="0.3">
      <c r="A708" s="14"/>
      <c r="B708" s="14"/>
      <c r="C708" s="14"/>
      <c r="D708" s="14"/>
      <c r="E708" s="1"/>
      <c r="F708" s="15"/>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row>
    <row r="709" spans="1:56" ht="16.5" customHeight="1" x14ac:dyDescent="0.3">
      <c r="A709" s="14"/>
      <c r="B709" s="14"/>
      <c r="C709" s="14"/>
      <c r="D709" s="14"/>
      <c r="E709" s="1"/>
      <c r="F709" s="15"/>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row>
    <row r="710" spans="1:56" ht="16.5" customHeight="1" x14ac:dyDescent="0.3">
      <c r="A710" s="14"/>
      <c r="B710" s="14"/>
      <c r="C710" s="14"/>
      <c r="D710" s="14"/>
      <c r="E710" s="1"/>
      <c r="F710" s="15"/>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row>
    <row r="711" spans="1:56" ht="16.5" customHeight="1" x14ac:dyDescent="0.3">
      <c r="A711" s="14"/>
      <c r="B711" s="14"/>
      <c r="C711" s="14"/>
      <c r="D711" s="14"/>
      <c r="E711" s="1"/>
      <c r="F711" s="15"/>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row>
    <row r="712" spans="1:56" ht="16.5" customHeight="1" x14ac:dyDescent="0.3">
      <c r="A712" s="14"/>
      <c r="B712" s="14"/>
      <c r="C712" s="14"/>
      <c r="D712" s="14"/>
      <c r="E712" s="1"/>
      <c r="F712" s="15"/>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row>
    <row r="713" spans="1:56" ht="16.5" customHeight="1" x14ac:dyDescent="0.3">
      <c r="A713" s="14"/>
      <c r="B713" s="14"/>
      <c r="C713" s="14"/>
      <c r="D713" s="14"/>
      <c r="E713" s="1"/>
      <c r="F713" s="15"/>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row>
    <row r="714" spans="1:56" ht="16.5" customHeight="1" x14ac:dyDescent="0.3">
      <c r="A714" s="14"/>
      <c r="B714" s="14"/>
      <c r="C714" s="14"/>
      <c r="D714" s="14"/>
      <c r="E714" s="1"/>
      <c r="F714" s="15"/>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row>
    <row r="715" spans="1:56" ht="16.5" customHeight="1" x14ac:dyDescent="0.3">
      <c r="A715" s="14"/>
      <c r="B715" s="14"/>
      <c r="C715" s="14"/>
      <c r="D715" s="14"/>
      <c r="E715" s="1"/>
      <c r="F715" s="15"/>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row>
    <row r="716" spans="1:56" ht="16.5" customHeight="1" x14ac:dyDescent="0.3">
      <c r="A716" s="14"/>
      <c r="B716" s="14"/>
      <c r="C716" s="14"/>
      <c r="D716" s="14"/>
      <c r="E716" s="1"/>
      <c r="F716" s="15"/>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row>
    <row r="717" spans="1:56" ht="16.5" customHeight="1" x14ac:dyDescent="0.3">
      <c r="A717" s="14"/>
      <c r="B717" s="14"/>
      <c r="C717" s="14"/>
      <c r="D717" s="14"/>
      <c r="E717" s="1"/>
      <c r="F717" s="15"/>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row>
    <row r="718" spans="1:56" ht="16.5" customHeight="1" x14ac:dyDescent="0.3">
      <c r="A718" s="14"/>
      <c r="B718" s="14"/>
      <c r="C718" s="14"/>
      <c r="D718" s="14"/>
      <c r="E718" s="1"/>
      <c r="F718" s="15"/>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row>
    <row r="719" spans="1:56" ht="16.5" customHeight="1" x14ac:dyDescent="0.3">
      <c r="A719" s="14"/>
      <c r="B719" s="14"/>
      <c r="C719" s="14"/>
      <c r="D719" s="14"/>
      <c r="E719" s="1"/>
      <c r="F719" s="15"/>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row>
    <row r="720" spans="1:56" ht="16.5" customHeight="1" x14ac:dyDescent="0.3">
      <c r="A720" s="14"/>
      <c r="B720" s="14"/>
      <c r="C720" s="14"/>
      <c r="D720" s="14"/>
      <c r="E720" s="1"/>
      <c r="F720" s="15"/>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row>
    <row r="721" spans="1:56" ht="16.5" customHeight="1" x14ac:dyDescent="0.3">
      <c r="A721" s="14"/>
      <c r="B721" s="14"/>
      <c r="C721" s="14"/>
      <c r="D721" s="14"/>
      <c r="E721" s="1"/>
      <c r="F721" s="15"/>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row>
    <row r="722" spans="1:56" ht="16.5" customHeight="1" x14ac:dyDescent="0.3">
      <c r="A722" s="14"/>
      <c r="B722" s="14"/>
      <c r="C722" s="14"/>
      <c r="D722" s="14"/>
      <c r="E722" s="1"/>
      <c r="F722" s="15"/>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row>
    <row r="723" spans="1:56" ht="16.5" customHeight="1" x14ac:dyDescent="0.3">
      <c r="A723" s="14"/>
      <c r="B723" s="14"/>
      <c r="C723" s="14"/>
      <c r="D723" s="14"/>
      <c r="E723" s="1"/>
      <c r="F723" s="15"/>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row>
    <row r="724" spans="1:56" ht="16.5" customHeight="1" x14ac:dyDescent="0.3">
      <c r="A724" s="14"/>
      <c r="B724" s="14"/>
      <c r="C724" s="14"/>
      <c r="D724" s="14"/>
      <c r="E724" s="1"/>
      <c r="F724" s="15"/>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row>
    <row r="725" spans="1:56" ht="16.5" customHeight="1" x14ac:dyDescent="0.3">
      <c r="A725" s="14"/>
      <c r="B725" s="14"/>
      <c r="C725" s="14"/>
      <c r="D725" s="14"/>
      <c r="E725" s="1"/>
      <c r="F725" s="15"/>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row>
    <row r="726" spans="1:56" ht="16.5" customHeight="1" x14ac:dyDescent="0.3">
      <c r="A726" s="14"/>
      <c r="B726" s="14"/>
      <c r="C726" s="14"/>
      <c r="D726" s="14"/>
      <c r="E726" s="1"/>
      <c r="F726" s="15"/>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row>
    <row r="727" spans="1:56" ht="16.5" customHeight="1" x14ac:dyDescent="0.3">
      <c r="A727" s="14"/>
      <c r="B727" s="14"/>
      <c r="C727" s="14"/>
      <c r="D727" s="14"/>
      <c r="E727" s="1"/>
      <c r="F727" s="15"/>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row>
    <row r="728" spans="1:56" ht="16.5" customHeight="1" x14ac:dyDescent="0.3">
      <c r="A728" s="14"/>
      <c r="B728" s="14"/>
      <c r="C728" s="14"/>
      <c r="D728" s="14"/>
      <c r="E728" s="1"/>
      <c r="F728" s="15"/>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row>
    <row r="729" spans="1:56" ht="16.5" customHeight="1" x14ac:dyDescent="0.3">
      <c r="A729" s="14"/>
      <c r="B729" s="14"/>
      <c r="C729" s="14"/>
      <c r="D729" s="14"/>
      <c r="E729" s="1"/>
      <c r="F729" s="15"/>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row>
    <row r="730" spans="1:56" ht="16.5" customHeight="1" x14ac:dyDescent="0.3">
      <c r="A730" s="14"/>
      <c r="B730" s="14"/>
      <c r="C730" s="14"/>
      <c r="D730" s="14"/>
      <c r="E730" s="1"/>
      <c r="F730" s="15"/>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row>
    <row r="731" spans="1:56" ht="16.5" customHeight="1" x14ac:dyDescent="0.3">
      <c r="A731" s="14"/>
      <c r="B731" s="14"/>
      <c r="C731" s="14"/>
      <c r="D731" s="14"/>
      <c r="E731" s="1"/>
      <c r="F731" s="15"/>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row>
    <row r="732" spans="1:56" ht="16.5" customHeight="1" x14ac:dyDescent="0.3">
      <c r="A732" s="14"/>
      <c r="B732" s="14"/>
      <c r="C732" s="14"/>
      <c r="D732" s="14"/>
      <c r="E732" s="1"/>
      <c r="F732" s="15"/>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row>
    <row r="733" spans="1:56" ht="16.5" customHeight="1" x14ac:dyDescent="0.3">
      <c r="A733" s="14"/>
      <c r="B733" s="14"/>
      <c r="C733" s="14"/>
      <c r="D733" s="14"/>
      <c r="E733" s="1"/>
      <c r="F733" s="15"/>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row>
    <row r="734" spans="1:56" ht="16.5" customHeight="1" x14ac:dyDescent="0.3">
      <c r="A734" s="14"/>
      <c r="B734" s="14"/>
      <c r="C734" s="14"/>
      <c r="D734" s="14"/>
      <c r="E734" s="1"/>
      <c r="F734" s="15"/>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row>
    <row r="735" spans="1:56" ht="16.5" customHeight="1" x14ac:dyDescent="0.3">
      <c r="A735" s="14"/>
      <c r="B735" s="14"/>
      <c r="C735" s="14"/>
      <c r="D735" s="14"/>
      <c r="E735" s="1"/>
      <c r="F735" s="15"/>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row>
    <row r="736" spans="1:56" ht="16.5" customHeight="1" x14ac:dyDescent="0.3">
      <c r="A736" s="14"/>
      <c r="B736" s="14"/>
      <c r="C736" s="14"/>
      <c r="D736" s="14"/>
      <c r="E736" s="1"/>
      <c r="F736" s="15"/>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row>
    <row r="737" spans="1:56" ht="16.5" customHeight="1" x14ac:dyDescent="0.3">
      <c r="A737" s="14"/>
      <c r="B737" s="14"/>
      <c r="C737" s="14"/>
      <c r="D737" s="14"/>
      <c r="E737" s="1"/>
      <c r="F737" s="15"/>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row>
    <row r="738" spans="1:56" ht="16.5" customHeight="1" x14ac:dyDescent="0.3">
      <c r="A738" s="14"/>
      <c r="B738" s="14"/>
      <c r="C738" s="14"/>
      <c r="D738" s="14"/>
      <c r="E738" s="1"/>
      <c r="F738" s="15"/>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row>
    <row r="739" spans="1:56" ht="16.5" customHeight="1" x14ac:dyDescent="0.3">
      <c r="A739" s="14"/>
      <c r="B739" s="14"/>
      <c r="C739" s="14"/>
      <c r="D739" s="14"/>
      <c r="E739" s="1"/>
      <c r="F739" s="15"/>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row>
    <row r="740" spans="1:56" ht="16.5" customHeight="1" x14ac:dyDescent="0.3">
      <c r="A740" s="14"/>
      <c r="B740" s="14"/>
      <c r="C740" s="14"/>
      <c r="D740" s="14"/>
      <c r="E740" s="1"/>
      <c r="F740" s="15"/>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row>
    <row r="741" spans="1:56" ht="16.5" customHeight="1" x14ac:dyDescent="0.3">
      <c r="A741" s="14"/>
      <c r="B741" s="14"/>
      <c r="C741" s="14"/>
      <c r="D741" s="14"/>
      <c r="E741" s="1"/>
      <c r="F741" s="15"/>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row>
    <row r="742" spans="1:56" ht="16.5" customHeight="1" x14ac:dyDescent="0.3">
      <c r="A742" s="14"/>
      <c r="B742" s="14"/>
      <c r="C742" s="14"/>
      <c r="D742" s="14"/>
      <c r="E742" s="1"/>
      <c r="F742" s="15"/>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row>
    <row r="743" spans="1:56" ht="16.5" customHeight="1" x14ac:dyDescent="0.3">
      <c r="A743" s="14"/>
      <c r="B743" s="14"/>
      <c r="C743" s="14"/>
      <c r="D743" s="14"/>
      <c r="E743" s="1"/>
      <c r="F743" s="15"/>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row>
    <row r="744" spans="1:56" ht="16.5" customHeight="1" x14ac:dyDescent="0.3">
      <c r="A744" s="14"/>
      <c r="B744" s="14"/>
      <c r="C744" s="14"/>
      <c r="D744" s="14"/>
      <c r="E744" s="1"/>
      <c r="F744" s="15"/>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row>
    <row r="745" spans="1:56" ht="16.5" customHeight="1" x14ac:dyDescent="0.3">
      <c r="A745" s="14"/>
      <c r="B745" s="14"/>
      <c r="C745" s="14"/>
      <c r="D745" s="14"/>
      <c r="E745" s="1"/>
      <c r="F745" s="15"/>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row>
    <row r="746" spans="1:56" ht="16.5" customHeight="1" x14ac:dyDescent="0.3">
      <c r="A746" s="14"/>
      <c r="B746" s="14"/>
      <c r="C746" s="14"/>
      <c r="D746" s="14"/>
      <c r="E746" s="1"/>
      <c r="F746" s="15"/>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row>
    <row r="747" spans="1:56" ht="16.5" customHeight="1" x14ac:dyDescent="0.3">
      <c r="A747" s="14"/>
      <c r="B747" s="14"/>
      <c r="C747" s="14"/>
      <c r="D747" s="14"/>
      <c r="E747" s="1"/>
      <c r="F747" s="15"/>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row>
    <row r="748" spans="1:56" ht="16.5" customHeight="1" x14ac:dyDescent="0.3">
      <c r="A748" s="14"/>
      <c r="B748" s="14"/>
      <c r="C748" s="14"/>
      <c r="D748" s="14"/>
      <c r="E748" s="1"/>
      <c r="F748" s="15"/>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row>
    <row r="749" spans="1:56" ht="16.5" customHeight="1" x14ac:dyDescent="0.3">
      <c r="A749" s="14"/>
      <c r="B749" s="14"/>
      <c r="C749" s="14"/>
      <c r="D749" s="14"/>
      <c r="E749" s="1"/>
      <c r="F749" s="15"/>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row>
    <row r="750" spans="1:56" ht="16.5" customHeight="1" x14ac:dyDescent="0.3">
      <c r="A750" s="14"/>
      <c r="B750" s="14"/>
      <c r="C750" s="14"/>
      <c r="D750" s="14"/>
      <c r="E750" s="1"/>
      <c r="F750" s="15"/>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row>
    <row r="751" spans="1:56" ht="16.5" customHeight="1" x14ac:dyDescent="0.3">
      <c r="A751" s="14"/>
      <c r="B751" s="14"/>
      <c r="C751" s="14"/>
      <c r="D751" s="14"/>
      <c r="E751" s="1"/>
      <c r="F751" s="15"/>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row>
    <row r="752" spans="1:56" ht="16.5" customHeight="1" x14ac:dyDescent="0.3">
      <c r="A752" s="14"/>
      <c r="B752" s="14"/>
      <c r="C752" s="14"/>
      <c r="D752" s="14"/>
      <c r="E752" s="1"/>
      <c r="F752" s="15"/>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row>
    <row r="753" spans="1:56" ht="16.5" customHeight="1" x14ac:dyDescent="0.3">
      <c r="A753" s="14"/>
      <c r="B753" s="14"/>
      <c r="C753" s="14"/>
      <c r="D753" s="14"/>
      <c r="E753" s="1"/>
      <c r="F753" s="15"/>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row>
    <row r="754" spans="1:56" ht="16.5" customHeight="1" x14ac:dyDescent="0.3">
      <c r="A754" s="14"/>
      <c r="B754" s="14"/>
      <c r="C754" s="14"/>
      <c r="D754" s="14"/>
      <c r="E754" s="1"/>
      <c r="F754" s="15"/>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row>
    <row r="755" spans="1:56" ht="16.5" customHeight="1" x14ac:dyDescent="0.3">
      <c r="A755" s="14"/>
      <c r="B755" s="14"/>
      <c r="C755" s="14"/>
      <c r="D755" s="14"/>
      <c r="E755" s="1"/>
      <c r="F755" s="15"/>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row>
    <row r="756" spans="1:56" ht="16.5" customHeight="1" x14ac:dyDescent="0.3">
      <c r="A756" s="14"/>
      <c r="B756" s="14"/>
      <c r="C756" s="14"/>
      <c r="D756" s="14"/>
      <c r="E756" s="1"/>
      <c r="F756" s="15"/>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row>
    <row r="757" spans="1:56" ht="16.5" customHeight="1" x14ac:dyDescent="0.3">
      <c r="A757" s="14"/>
      <c r="B757" s="14"/>
      <c r="C757" s="14"/>
      <c r="D757" s="14"/>
      <c r="E757" s="1"/>
      <c r="F757" s="15"/>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row>
    <row r="758" spans="1:56" ht="16.5" customHeight="1" x14ac:dyDescent="0.3">
      <c r="A758" s="14"/>
      <c r="B758" s="14"/>
      <c r="C758" s="14"/>
      <c r="D758" s="14"/>
      <c r="E758" s="1"/>
      <c r="F758" s="15"/>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row>
    <row r="759" spans="1:56" ht="16.5" customHeight="1" x14ac:dyDescent="0.3">
      <c r="A759" s="14"/>
      <c r="B759" s="14"/>
      <c r="C759" s="14"/>
      <c r="D759" s="14"/>
      <c r="E759" s="1"/>
      <c r="F759" s="15"/>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row>
    <row r="760" spans="1:56" ht="16.5" customHeight="1" x14ac:dyDescent="0.3">
      <c r="A760" s="14"/>
      <c r="B760" s="14"/>
      <c r="C760" s="14"/>
      <c r="D760" s="14"/>
      <c r="E760" s="1"/>
      <c r="F760" s="15"/>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row>
    <row r="761" spans="1:56" ht="16.5" customHeight="1" x14ac:dyDescent="0.3">
      <c r="A761" s="14"/>
      <c r="B761" s="14"/>
      <c r="C761" s="14"/>
      <c r="D761" s="14"/>
      <c r="E761" s="1"/>
      <c r="F761" s="15"/>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row>
    <row r="762" spans="1:56" ht="16.5" customHeight="1" x14ac:dyDescent="0.3">
      <c r="A762" s="14"/>
      <c r="B762" s="14"/>
      <c r="C762" s="14"/>
      <c r="D762" s="14"/>
      <c r="E762" s="1"/>
      <c r="F762" s="15"/>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row>
    <row r="763" spans="1:56" ht="16.5" customHeight="1" x14ac:dyDescent="0.3">
      <c r="A763" s="14"/>
      <c r="B763" s="14"/>
      <c r="C763" s="14"/>
      <c r="D763" s="14"/>
      <c r="E763" s="1"/>
      <c r="F763" s="15"/>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row>
    <row r="764" spans="1:56" ht="16.5" customHeight="1" x14ac:dyDescent="0.3">
      <c r="A764" s="14"/>
      <c r="B764" s="14"/>
      <c r="C764" s="14"/>
      <c r="D764" s="14"/>
      <c r="E764" s="1"/>
      <c r="F764" s="15"/>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row>
    <row r="765" spans="1:56" ht="16.5" customHeight="1" x14ac:dyDescent="0.3">
      <c r="A765" s="14"/>
      <c r="B765" s="14"/>
      <c r="C765" s="14"/>
      <c r="D765" s="14"/>
      <c r="E765" s="1"/>
      <c r="F765" s="15"/>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row>
    <row r="766" spans="1:56" ht="16.5" customHeight="1" x14ac:dyDescent="0.3">
      <c r="A766" s="14"/>
      <c r="B766" s="14"/>
      <c r="C766" s="14"/>
      <c r="D766" s="14"/>
      <c r="E766" s="1"/>
      <c r="F766" s="15"/>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row>
    <row r="767" spans="1:56" ht="16.5" customHeight="1" x14ac:dyDescent="0.3">
      <c r="A767" s="14"/>
      <c r="B767" s="14"/>
      <c r="C767" s="14"/>
      <c r="D767" s="14"/>
      <c r="E767" s="1"/>
      <c r="F767" s="15"/>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row>
    <row r="768" spans="1:56" ht="16.5" customHeight="1" x14ac:dyDescent="0.3">
      <c r="A768" s="14"/>
      <c r="B768" s="14"/>
      <c r="C768" s="14"/>
      <c r="D768" s="14"/>
      <c r="E768" s="1"/>
      <c r="F768" s="15"/>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row>
    <row r="769" spans="1:56" ht="16.5" customHeight="1" x14ac:dyDescent="0.3">
      <c r="A769" s="14"/>
      <c r="B769" s="14"/>
      <c r="C769" s="14"/>
      <c r="D769" s="14"/>
      <c r="E769" s="1"/>
      <c r="F769" s="15"/>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row>
    <row r="770" spans="1:56" ht="16.5" customHeight="1" x14ac:dyDescent="0.3">
      <c r="A770" s="14"/>
      <c r="B770" s="14"/>
      <c r="C770" s="14"/>
      <c r="D770" s="14"/>
      <c r="E770" s="1"/>
      <c r="F770" s="15"/>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row>
    <row r="771" spans="1:56" ht="16.5" customHeight="1" x14ac:dyDescent="0.3">
      <c r="A771" s="14"/>
      <c r="B771" s="14"/>
      <c r="C771" s="14"/>
      <c r="D771" s="14"/>
      <c r="E771" s="1"/>
      <c r="F771" s="15"/>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row>
    <row r="772" spans="1:56" ht="16.5" customHeight="1" x14ac:dyDescent="0.3">
      <c r="A772" s="14"/>
      <c r="B772" s="14"/>
      <c r="C772" s="14"/>
      <c r="D772" s="14"/>
      <c r="E772" s="1"/>
      <c r="F772" s="15"/>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row>
    <row r="773" spans="1:56" ht="16.5" customHeight="1" x14ac:dyDescent="0.3">
      <c r="A773" s="14"/>
      <c r="B773" s="14"/>
      <c r="C773" s="14"/>
      <c r="D773" s="14"/>
      <c r="E773" s="1"/>
      <c r="F773" s="15"/>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row>
    <row r="774" spans="1:56" ht="16.5" customHeight="1" x14ac:dyDescent="0.3">
      <c r="A774" s="14"/>
      <c r="B774" s="14"/>
      <c r="C774" s="14"/>
      <c r="D774" s="14"/>
      <c r="E774" s="1"/>
      <c r="F774" s="15"/>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row>
    <row r="775" spans="1:56" ht="16.5" customHeight="1" x14ac:dyDescent="0.3">
      <c r="A775" s="14"/>
      <c r="B775" s="14"/>
      <c r="C775" s="14"/>
      <c r="D775" s="14"/>
      <c r="E775" s="1"/>
      <c r="F775" s="15"/>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row>
    <row r="776" spans="1:56" ht="16.5" customHeight="1" x14ac:dyDescent="0.3">
      <c r="A776" s="14"/>
      <c r="B776" s="14"/>
      <c r="C776" s="14"/>
      <c r="D776" s="14"/>
      <c r="E776" s="1"/>
      <c r="F776" s="15"/>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row>
    <row r="777" spans="1:56" ht="16.5" customHeight="1" x14ac:dyDescent="0.3">
      <c r="A777" s="14"/>
      <c r="B777" s="14"/>
      <c r="C777" s="14"/>
      <c r="D777" s="14"/>
      <c r="E777" s="1"/>
      <c r="F777" s="15"/>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row>
    <row r="778" spans="1:56" ht="16.5" customHeight="1" x14ac:dyDescent="0.3">
      <c r="A778" s="14"/>
      <c r="B778" s="14"/>
      <c r="C778" s="14"/>
      <c r="D778" s="14"/>
      <c r="E778" s="1"/>
      <c r="F778" s="15"/>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row>
    <row r="779" spans="1:56" ht="16.5" customHeight="1" x14ac:dyDescent="0.3">
      <c r="A779" s="14"/>
      <c r="B779" s="14"/>
      <c r="C779" s="14"/>
      <c r="D779" s="14"/>
      <c r="E779" s="1"/>
      <c r="F779" s="15"/>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row>
    <row r="780" spans="1:56" ht="16.5" customHeight="1" x14ac:dyDescent="0.3">
      <c r="A780" s="14"/>
      <c r="B780" s="14"/>
      <c r="C780" s="14"/>
      <c r="D780" s="14"/>
      <c r="E780" s="1"/>
      <c r="F780" s="15"/>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row>
    <row r="781" spans="1:56" ht="16.5" customHeight="1" x14ac:dyDescent="0.3">
      <c r="A781" s="14"/>
      <c r="B781" s="14"/>
      <c r="C781" s="14"/>
      <c r="D781" s="14"/>
      <c r="E781" s="1"/>
      <c r="F781" s="15"/>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row>
    <row r="782" spans="1:56" ht="16.5" customHeight="1" x14ac:dyDescent="0.3">
      <c r="A782" s="14"/>
      <c r="B782" s="14"/>
      <c r="C782" s="14"/>
      <c r="D782" s="14"/>
      <c r="E782" s="1"/>
      <c r="F782" s="15"/>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row>
    <row r="783" spans="1:56" ht="16.5" customHeight="1" x14ac:dyDescent="0.3">
      <c r="A783" s="14"/>
      <c r="B783" s="14"/>
      <c r="C783" s="14"/>
      <c r="D783" s="14"/>
      <c r="E783" s="1"/>
      <c r="F783" s="15"/>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row>
    <row r="784" spans="1:56" ht="16.5" customHeight="1" x14ac:dyDescent="0.3">
      <c r="A784" s="14"/>
      <c r="B784" s="14"/>
      <c r="C784" s="14"/>
      <c r="D784" s="14"/>
      <c r="E784" s="1"/>
      <c r="F784" s="15"/>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row>
    <row r="785" spans="1:56" ht="16.5" customHeight="1" x14ac:dyDescent="0.3">
      <c r="A785" s="14"/>
      <c r="B785" s="14"/>
      <c r="C785" s="14"/>
      <c r="D785" s="14"/>
      <c r="E785" s="1"/>
      <c r="F785" s="15"/>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row>
    <row r="786" spans="1:56" ht="16.5" customHeight="1" x14ac:dyDescent="0.3">
      <c r="A786" s="14"/>
      <c r="B786" s="14"/>
      <c r="C786" s="14"/>
      <c r="D786" s="14"/>
      <c r="E786" s="1"/>
      <c r="F786" s="15"/>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row>
    <row r="787" spans="1:56" ht="16.5" customHeight="1" x14ac:dyDescent="0.3">
      <c r="A787" s="14"/>
      <c r="B787" s="14"/>
      <c r="C787" s="14"/>
      <c r="D787" s="14"/>
      <c r="E787" s="1"/>
      <c r="F787" s="15"/>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row>
    <row r="788" spans="1:56" ht="16.5" customHeight="1" x14ac:dyDescent="0.3">
      <c r="A788" s="14"/>
      <c r="B788" s="14"/>
      <c r="C788" s="14"/>
      <c r="D788" s="14"/>
      <c r="E788" s="1"/>
      <c r="F788" s="15"/>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row>
    <row r="789" spans="1:56" ht="16.5" customHeight="1" x14ac:dyDescent="0.3">
      <c r="A789" s="14"/>
      <c r="B789" s="14"/>
      <c r="C789" s="14"/>
      <c r="D789" s="14"/>
      <c r="E789" s="1"/>
      <c r="F789" s="15"/>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row>
    <row r="790" spans="1:56" ht="16.5" customHeight="1" x14ac:dyDescent="0.3">
      <c r="A790" s="14"/>
      <c r="B790" s="14"/>
      <c r="C790" s="14"/>
      <c r="D790" s="14"/>
      <c r="E790" s="1"/>
      <c r="F790" s="15"/>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row>
    <row r="791" spans="1:56" ht="16.5" customHeight="1" x14ac:dyDescent="0.3">
      <c r="A791" s="14"/>
      <c r="B791" s="14"/>
      <c r="C791" s="14"/>
      <c r="D791" s="14"/>
      <c r="E791" s="1"/>
      <c r="F791" s="15"/>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row>
    <row r="792" spans="1:56" ht="16.5" customHeight="1" x14ac:dyDescent="0.3">
      <c r="A792" s="14"/>
      <c r="B792" s="14"/>
      <c r="C792" s="14"/>
      <c r="D792" s="14"/>
      <c r="E792" s="1"/>
      <c r="F792" s="15"/>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row>
    <row r="793" spans="1:56" ht="16.5" customHeight="1" x14ac:dyDescent="0.3">
      <c r="A793" s="14"/>
      <c r="B793" s="14"/>
      <c r="C793" s="14"/>
      <c r="D793" s="14"/>
      <c r="E793" s="1"/>
      <c r="F793" s="15"/>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row>
    <row r="794" spans="1:56" ht="16.5" customHeight="1" x14ac:dyDescent="0.3">
      <c r="A794" s="14"/>
      <c r="B794" s="14"/>
      <c r="C794" s="14"/>
      <c r="D794" s="14"/>
      <c r="E794" s="1"/>
      <c r="F794" s="15"/>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row>
    <row r="795" spans="1:56" ht="16.5" customHeight="1" x14ac:dyDescent="0.3">
      <c r="A795" s="14"/>
      <c r="B795" s="14"/>
      <c r="C795" s="14"/>
      <c r="D795" s="14"/>
      <c r="E795" s="1"/>
      <c r="F795" s="15"/>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row>
    <row r="796" spans="1:56" ht="16.5" customHeight="1" x14ac:dyDescent="0.3">
      <c r="A796" s="14"/>
      <c r="B796" s="14"/>
      <c r="C796" s="14"/>
      <c r="D796" s="14"/>
      <c r="E796" s="1"/>
      <c r="F796" s="15"/>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row>
    <row r="797" spans="1:56" ht="16.5" customHeight="1" x14ac:dyDescent="0.3">
      <c r="A797" s="14"/>
      <c r="B797" s="14"/>
      <c r="C797" s="14"/>
      <c r="D797" s="14"/>
      <c r="E797" s="1"/>
      <c r="F797" s="15"/>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row>
    <row r="798" spans="1:56" ht="16.5" customHeight="1" x14ac:dyDescent="0.3">
      <c r="A798" s="14"/>
      <c r="B798" s="14"/>
      <c r="C798" s="14"/>
      <c r="D798" s="14"/>
      <c r="E798" s="1"/>
      <c r="F798" s="15"/>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row>
    <row r="799" spans="1:56" ht="16.5" customHeight="1" x14ac:dyDescent="0.3">
      <c r="A799" s="14"/>
      <c r="B799" s="14"/>
      <c r="C799" s="14"/>
      <c r="D799" s="14"/>
      <c r="E799" s="1"/>
      <c r="F799" s="15"/>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row>
    <row r="800" spans="1:56" ht="16.5" customHeight="1" x14ac:dyDescent="0.3">
      <c r="A800" s="14"/>
      <c r="B800" s="14"/>
      <c r="C800" s="14"/>
      <c r="D800" s="14"/>
      <c r="E800" s="1"/>
      <c r="F800" s="15"/>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row>
    <row r="801" spans="1:56" ht="16.5" customHeight="1" x14ac:dyDescent="0.3">
      <c r="A801" s="14"/>
      <c r="B801" s="14"/>
      <c r="C801" s="14"/>
      <c r="D801" s="14"/>
      <c r="E801" s="1"/>
      <c r="F801" s="15"/>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row>
    <row r="802" spans="1:56" ht="16.5" customHeight="1" x14ac:dyDescent="0.3">
      <c r="A802" s="14"/>
      <c r="B802" s="14"/>
      <c r="C802" s="14"/>
      <c r="D802" s="14"/>
      <c r="E802" s="1"/>
      <c r="F802" s="15"/>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row>
    <row r="803" spans="1:56" ht="16.5" customHeight="1" x14ac:dyDescent="0.3">
      <c r="A803" s="14"/>
      <c r="B803" s="14"/>
      <c r="C803" s="14"/>
      <c r="D803" s="14"/>
      <c r="E803" s="1"/>
      <c r="F803" s="15"/>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row>
    <row r="804" spans="1:56" ht="16.5" customHeight="1" x14ac:dyDescent="0.3">
      <c r="A804" s="14"/>
      <c r="B804" s="14"/>
      <c r="C804" s="14"/>
      <c r="D804" s="14"/>
      <c r="E804" s="1"/>
      <c r="F804" s="15"/>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row>
    <row r="805" spans="1:56" ht="16.5" customHeight="1" x14ac:dyDescent="0.3">
      <c r="A805" s="14"/>
      <c r="B805" s="14"/>
      <c r="C805" s="14"/>
      <c r="D805" s="14"/>
      <c r="E805" s="1"/>
      <c r="F805" s="15"/>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row>
    <row r="806" spans="1:56" ht="16.5" customHeight="1" x14ac:dyDescent="0.3">
      <c r="A806" s="14"/>
      <c r="B806" s="14"/>
      <c r="C806" s="14"/>
      <c r="D806" s="14"/>
      <c r="E806" s="1"/>
      <c r="F806" s="15"/>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row>
    <row r="807" spans="1:56" ht="16.5" customHeight="1" x14ac:dyDescent="0.3">
      <c r="A807" s="14"/>
      <c r="B807" s="14"/>
      <c r="C807" s="14"/>
      <c r="D807" s="14"/>
      <c r="E807" s="1"/>
      <c r="F807" s="15"/>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row>
    <row r="808" spans="1:56" ht="16.5" customHeight="1" x14ac:dyDescent="0.3">
      <c r="A808" s="14"/>
      <c r="B808" s="14"/>
      <c r="C808" s="14"/>
      <c r="D808" s="14"/>
      <c r="E808" s="1"/>
      <c r="F808" s="15"/>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row>
    <row r="809" spans="1:56" ht="16.5" customHeight="1" x14ac:dyDescent="0.3">
      <c r="A809" s="14"/>
      <c r="B809" s="14"/>
      <c r="C809" s="14"/>
      <c r="D809" s="14"/>
      <c r="E809" s="1"/>
      <c r="F809" s="15"/>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row>
    <row r="810" spans="1:56" ht="16.5" customHeight="1" x14ac:dyDescent="0.3">
      <c r="A810" s="14"/>
      <c r="B810" s="14"/>
      <c r="C810" s="14"/>
      <c r="D810" s="14"/>
      <c r="E810" s="1"/>
      <c r="F810" s="15"/>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row>
    <row r="811" spans="1:56" ht="16.5" customHeight="1" x14ac:dyDescent="0.3">
      <c r="A811" s="14"/>
      <c r="B811" s="14"/>
      <c r="C811" s="14"/>
      <c r="D811" s="14"/>
      <c r="E811" s="1"/>
      <c r="F811" s="15"/>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row>
    <row r="812" spans="1:56" ht="16.5" customHeight="1" x14ac:dyDescent="0.3">
      <c r="A812" s="14"/>
      <c r="B812" s="14"/>
      <c r="C812" s="14"/>
      <c r="D812" s="14"/>
      <c r="E812" s="1"/>
      <c r="F812" s="15"/>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row>
    <row r="813" spans="1:56" ht="16.5" customHeight="1" x14ac:dyDescent="0.3">
      <c r="A813" s="14"/>
      <c r="B813" s="14"/>
      <c r="C813" s="14"/>
      <c r="D813" s="14"/>
      <c r="E813" s="1"/>
      <c r="F813" s="15"/>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row>
    <row r="814" spans="1:56" ht="16.5" customHeight="1" x14ac:dyDescent="0.3">
      <c r="A814" s="14"/>
      <c r="B814" s="14"/>
      <c r="C814" s="14"/>
      <c r="D814" s="14"/>
      <c r="E814" s="1"/>
      <c r="F814" s="15"/>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row>
    <row r="815" spans="1:56" ht="16.5" customHeight="1" x14ac:dyDescent="0.3">
      <c r="A815" s="14"/>
      <c r="B815" s="14"/>
      <c r="C815" s="14"/>
      <c r="D815" s="14"/>
      <c r="E815" s="1"/>
      <c r="F815" s="15"/>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row>
    <row r="816" spans="1:56" ht="16.5" customHeight="1" x14ac:dyDescent="0.3">
      <c r="A816" s="14"/>
      <c r="B816" s="14"/>
      <c r="C816" s="14"/>
      <c r="D816" s="14"/>
      <c r="E816" s="1"/>
      <c r="F816" s="15"/>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row>
    <row r="817" spans="1:56" ht="16.5" customHeight="1" x14ac:dyDescent="0.3">
      <c r="A817" s="14"/>
      <c r="B817" s="14"/>
      <c r="C817" s="14"/>
      <c r="D817" s="14"/>
      <c r="E817" s="1"/>
      <c r="F817" s="15"/>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row>
    <row r="818" spans="1:56" ht="16.5" customHeight="1" x14ac:dyDescent="0.3">
      <c r="A818" s="14"/>
      <c r="B818" s="14"/>
      <c r="C818" s="14"/>
      <c r="D818" s="14"/>
      <c r="E818" s="1"/>
      <c r="F818" s="15"/>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row>
    <row r="819" spans="1:56" ht="16.5" customHeight="1" x14ac:dyDescent="0.3">
      <c r="A819" s="14"/>
      <c r="B819" s="14"/>
      <c r="C819" s="14"/>
      <c r="D819" s="14"/>
      <c r="E819" s="1"/>
      <c r="F819" s="15"/>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row>
    <row r="820" spans="1:56" ht="16.5" customHeight="1" x14ac:dyDescent="0.3">
      <c r="A820" s="14"/>
      <c r="B820" s="14"/>
      <c r="C820" s="14"/>
      <c r="D820" s="14"/>
      <c r="E820" s="1"/>
      <c r="F820" s="15"/>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row>
    <row r="821" spans="1:56" ht="16.5" customHeight="1" x14ac:dyDescent="0.3">
      <c r="A821" s="14"/>
      <c r="B821" s="14"/>
      <c r="C821" s="14"/>
      <c r="D821" s="14"/>
      <c r="E821" s="1"/>
      <c r="F821" s="15"/>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row>
    <row r="822" spans="1:56" ht="16.5" customHeight="1" x14ac:dyDescent="0.3">
      <c r="A822" s="14"/>
      <c r="B822" s="14"/>
      <c r="C822" s="14"/>
      <c r="D822" s="14"/>
      <c r="E822" s="1"/>
      <c r="F822" s="15"/>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row>
    <row r="823" spans="1:56" ht="16.5" customHeight="1" x14ac:dyDescent="0.3">
      <c r="A823" s="14"/>
      <c r="B823" s="14"/>
      <c r="C823" s="14"/>
      <c r="D823" s="14"/>
      <c r="E823" s="1"/>
      <c r="F823" s="15"/>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row>
    <row r="824" spans="1:56" ht="16.5" customHeight="1" x14ac:dyDescent="0.3">
      <c r="A824" s="14"/>
      <c r="B824" s="14"/>
      <c r="C824" s="14"/>
      <c r="D824" s="14"/>
      <c r="E824" s="1"/>
      <c r="F824" s="15"/>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row>
    <row r="825" spans="1:56" ht="16.5" customHeight="1" x14ac:dyDescent="0.3">
      <c r="A825" s="14"/>
      <c r="B825" s="14"/>
      <c r="C825" s="14"/>
      <c r="D825" s="14"/>
      <c r="E825" s="1"/>
      <c r="F825" s="15"/>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row>
    <row r="826" spans="1:56" ht="16.5" customHeight="1" x14ac:dyDescent="0.3">
      <c r="A826" s="14"/>
      <c r="B826" s="14"/>
      <c r="C826" s="14"/>
      <c r="D826" s="14"/>
      <c r="E826" s="1"/>
      <c r="F826" s="15"/>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row>
    <row r="827" spans="1:56" ht="16.5" customHeight="1" x14ac:dyDescent="0.3">
      <c r="A827" s="14"/>
      <c r="B827" s="14"/>
      <c r="C827" s="14"/>
      <c r="D827" s="14"/>
      <c r="E827" s="1"/>
      <c r="F827" s="15"/>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row>
    <row r="828" spans="1:56" ht="16.5" customHeight="1" x14ac:dyDescent="0.3">
      <c r="A828" s="14"/>
      <c r="B828" s="14"/>
      <c r="C828" s="14"/>
      <c r="D828" s="14"/>
      <c r="E828" s="1"/>
      <c r="F828" s="15"/>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row>
    <row r="829" spans="1:56" ht="16.5" customHeight="1" x14ac:dyDescent="0.3">
      <c r="A829" s="14"/>
      <c r="B829" s="14"/>
      <c r="C829" s="14"/>
      <c r="D829" s="14"/>
      <c r="E829" s="1"/>
      <c r="F829" s="15"/>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row>
    <row r="830" spans="1:56" ht="16.5" customHeight="1" x14ac:dyDescent="0.3">
      <c r="A830" s="14"/>
      <c r="B830" s="14"/>
      <c r="C830" s="14"/>
      <c r="D830" s="14"/>
      <c r="E830" s="1"/>
      <c r="F830" s="15"/>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row>
    <row r="831" spans="1:56" ht="16.5" customHeight="1" x14ac:dyDescent="0.3">
      <c r="A831" s="14"/>
      <c r="B831" s="14"/>
      <c r="C831" s="14"/>
      <c r="D831" s="14"/>
      <c r="E831" s="1"/>
      <c r="F831" s="15"/>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row>
    <row r="832" spans="1:56" ht="16.5" customHeight="1" x14ac:dyDescent="0.3">
      <c r="A832" s="14"/>
      <c r="B832" s="14"/>
      <c r="C832" s="14"/>
      <c r="D832" s="14"/>
      <c r="E832" s="1"/>
      <c r="F832" s="15"/>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row>
    <row r="833" spans="1:56" ht="16.5" customHeight="1" x14ac:dyDescent="0.3">
      <c r="A833" s="14"/>
      <c r="B833" s="14"/>
      <c r="C833" s="14"/>
      <c r="D833" s="14"/>
      <c r="E833" s="1"/>
      <c r="F833" s="15"/>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row>
    <row r="834" spans="1:56" ht="16.5" customHeight="1" x14ac:dyDescent="0.3">
      <c r="A834" s="14"/>
      <c r="B834" s="14"/>
      <c r="C834" s="14"/>
      <c r="D834" s="14"/>
      <c r="E834" s="1"/>
      <c r="F834" s="15"/>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row>
    <row r="835" spans="1:56" ht="16.5" customHeight="1" x14ac:dyDescent="0.3">
      <c r="A835" s="14"/>
      <c r="B835" s="14"/>
      <c r="C835" s="14"/>
      <c r="D835" s="14"/>
      <c r="E835" s="1"/>
      <c r="F835" s="15"/>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row>
    <row r="836" spans="1:56" ht="16.5" customHeight="1" x14ac:dyDescent="0.3">
      <c r="A836" s="14"/>
      <c r="B836" s="14"/>
      <c r="C836" s="14"/>
      <c r="D836" s="14"/>
      <c r="E836" s="1"/>
      <c r="F836" s="15"/>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row>
    <row r="837" spans="1:56" ht="16.5" customHeight="1" x14ac:dyDescent="0.3">
      <c r="A837" s="14"/>
      <c r="B837" s="14"/>
      <c r="C837" s="14"/>
      <c r="D837" s="14"/>
      <c r="E837" s="1"/>
      <c r="F837" s="15"/>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row>
    <row r="838" spans="1:56" ht="16.5" customHeight="1" x14ac:dyDescent="0.3">
      <c r="A838" s="14"/>
      <c r="B838" s="14"/>
      <c r="C838" s="14"/>
      <c r="D838" s="14"/>
      <c r="E838" s="1"/>
      <c r="F838" s="15"/>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row>
    <row r="839" spans="1:56" ht="16.5" customHeight="1" x14ac:dyDescent="0.3">
      <c r="A839" s="14"/>
      <c r="B839" s="14"/>
      <c r="C839" s="14"/>
      <c r="D839" s="14"/>
      <c r="E839" s="1"/>
      <c r="F839" s="15"/>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row>
    <row r="840" spans="1:56" ht="16.5" customHeight="1" x14ac:dyDescent="0.3">
      <c r="A840" s="14"/>
      <c r="B840" s="14"/>
      <c r="C840" s="14"/>
      <c r="D840" s="14"/>
      <c r="E840" s="1"/>
      <c r="F840" s="15"/>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row>
    <row r="841" spans="1:56" ht="16.5" customHeight="1" x14ac:dyDescent="0.3">
      <c r="A841" s="14"/>
      <c r="B841" s="14"/>
      <c r="C841" s="14"/>
      <c r="D841" s="14"/>
      <c r="E841" s="1"/>
      <c r="F841" s="15"/>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row>
    <row r="842" spans="1:56" ht="16.5" customHeight="1" x14ac:dyDescent="0.3">
      <c r="A842" s="14"/>
      <c r="B842" s="14"/>
      <c r="C842" s="14"/>
      <c r="D842" s="14"/>
      <c r="E842" s="1"/>
      <c r="F842" s="15"/>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row>
    <row r="843" spans="1:56" ht="16.5" customHeight="1" x14ac:dyDescent="0.3">
      <c r="A843" s="14"/>
      <c r="B843" s="14"/>
      <c r="C843" s="14"/>
      <c r="D843" s="14"/>
      <c r="E843" s="1"/>
      <c r="F843" s="15"/>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row>
    <row r="844" spans="1:56" ht="16.5" customHeight="1" x14ac:dyDescent="0.3">
      <c r="A844" s="14"/>
      <c r="B844" s="14"/>
      <c r="C844" s="14"/>
      <c r="D844" s="14"/>
      <c r="E844" s="1"/>
      <c r="F844" s="15"/>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row>
    <row r="845" spans="1:56" ht="16.5" customHeight="1" x14ac:dyDescent="0.3">
      <c r="A845" s="14"/>
      <c r="B845" s="14"/>
      <c r="C845" s="14"/>
      <c r="D845" s="14"/>
      <c r="E845" s="1"/>
      <c r="F845" s="15"/>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row>
    <row r="846" spans="1:56" ht="16.5" customHeight="1" x14ac:dyDescent="0.3">
      <c r="A846" s="14"/>
      <c r="B846" s="14"/>
      <c r="C846" s="14"/>
      <c r="D846" s="14"/>
      <c r="E846" s="1"/>
      <c r="F846" s="15"/>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row>
    <row r="847" spans="1:56" ht="16.5" customHeight="1" x14ac:dyDescent="0.3">
      <c r="A847" s="14"/>
      <c r="B847" s="14"/>
      <c r="C847" s="14"/>
      <c r="D847" s="14"/>
      <c r="E847" s="1"/>
      <c r="F847" s="15"/>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row>
    <row r="848" spans="1:56" ht="16.5" customHeight="1" x14ac:dyDescent="0.3">
      <c r="A848" s="14"/>
      <c r="B848" s="14"/>
      <c r="C848" s="14"/>
      <c r="D848" s="14"/>
      <c r="E848" s="1"/>
      <c r="F848" s="15"/>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row>
    <row r="849" spans="1:56" ht="16.5" customHeight="1" x14ac:dyDescent="0.3">
      <c r="A849" s="14"/>
      <c r="B849" s="14"/>
      <c r="C849" s="14"/>
      <c r="D849" s="14"/>
      <c r="E849" s="1"/>
      <c r="F849" s="15"/>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row>
    <row r="850" spans="1:56" ht="16.5" customHeight="1" x14ac:dyDescent="0.3">
      <c r="A850" s="14"/>
      <c r="B850" s="14"/>
      <c r="C850" s="14"/>
      <c r="D850" s="14"/>
      <c r="E850" s="1"/>
      <c r="F850" s="15"/>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row>
    <row r="851" spans="1:56" ht="16.5" customHeight="1" x14ac:dyDescent="0.3">
      <c r="A851" s="14"/>
      <c r="B851" s="14"/>
      <c r="C851" s="14"/>
      <c r="D851" s="14"/>
      <c r="E851" s="1"/>
      <c r="F851" s="15"/>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row>
    <row r="852" spans="1:56" ht="16.5" customHeight="1" x14ac:dyDescent="0.3">
      <c r="A852" s="14"/>
      <c r="B852" s="14"/>
      <c r="C852" s="14"/>
      <c r="D852" s="14"/>
      <c r="E852" s="1"/>
      <c r="F852" s="15"/>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row>
    <row r="853" spans="1:56" ht="16.5" customHeight="1" x14ac:dyDescent="0.3">
      <c r="A853" s="14"/>
      <c r="B853" s="14"/>
      <c r="C853" s="14"/>
      <c r="D853" s="14"/>
      <c r="E853" s="1"/>
      <c r="F853" s="15"/>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row>
    <row r="854" spans="1:56" ht="16.5" customHeight="1" x14ac:dyDescent="0.3">
      <c r="A854" s="14"/>
      <c r="B854" s="14"/>
      <c r="C854" s="14"/>
      <c r="D854" s="14"/>
      <c r="E854" s="1"/>
      <c r="F854" s="15"/>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row>
    <row r="855" spans="1:56" ht="16.5" customHeight="1" x14ac:dyDescent="0.3">
      <c r="A855" s="14"/>
      <c r="B855" s="14"/>
      <c r="C855" s="14"/>
      <c r="D855" s="14"/>
      <c r="E855" s="1"/>
      <c r="F855" s="15"/>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row>
    <row r="856" spans="1:56" ht="16.5" customHeight="1" x14ac:dyDescent="0.3">
      <c r="A856" s="14"/>
      <c r="B856" s="14"/>
      <c r="C856" s="14"/>
      <c r="D856" s="14"/>
      <c r="E856" s="1"/>
      <c r="F856" s="15"/>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row>
    <row r="857" spans="1:56" ht="16.5" customHeight="1" x14ac:dyDescent="0.3">
      <c r="A857" s="14"/>
      <c r="B857" s="14"/>
      <c r="C857" s="14"/>
      <c r="D857" s="14"/>
      <c r="E857" s="1"/>
      <c r="F857" s="15"/>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row>
    <row r="858" spans="1:56" ht="16.5" customHeight="1" x14ac:dyDescent="0.3">
      <c r="A858" s="14"/>
      <c r="B858" s="14"/>
      <c r="C858" s="14"/>
      <c r="D858" s="14"/>
      <c r="E858" s="1"/>
      <c r="F858" s="15"/>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row>
    <row r="859" spans="1:56" ht="16.5" customHeight="1" x14ac:dyDescent="0.3">
      <c r="A859" s="14"/>
      <c r="B859" s="14"/>
      <c r="C859" s="14"/>
      <c r="D859" s="14"/>
      <c r="E859" s="1"/>
      <c r="F859" s="15"/>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row>
    <row r="860" spans="1:56" ht="16.5" customHeight="1" x14ac:dyDescent="0.3">
      <c r="A860" s="14"/>
      <c r="B860" s="14"/>
      <c r="C860" s="14"/>
      <c r="D860" s="14"/>
      <c r="E860" s="1"/>
      <c r="F860" s="15"/>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row>
    <row r="861" spans="1:56" ht="16.5" customHeight="1" x14ac:dyDescent="0.3">
      <c r="A861" s="14"/>
      <c r="B861" s="14"/>
      <c r="C861" s="14"/>
      <c r="D861" s="14"/>
      <c r="E861" s="1"/>
      <c r="F861" s="15"/>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row>
    <row r="862" spans="1:56" ht="16.5" customHeight="1" x14ac:dyDescent="0.3">
      <c r="A862" s="14"/>
      <c r="B862" s="14"/>
      <c r="C862" s="14"/>
      <c r="D862" s="14"/>
      <c r="E862" s="1"/>
      <c r="F862" s="15"/>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row>
    <row r="863" spans="1:56" ht="16.5" customHeight="1" x14ac:dyDescent="0.3">
      <c r="A863" s="14"/>
      <c r="B863" s="14"/>
      <c r="C863" s="14"/>
      <c r="D863" s="14"/>
      <c r="E863" s="1"/>
      <c r="F863" s="15"/>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row>
    <row r="864" spans="1:56" ht="16.5" customHeight="1" x14ac:dyDescent="0.3">
      <c r="A864" s="14"/>
      <c r="B864" s="14"/>
      <c r="C864" s="14"/>
      <c r="D864" s="14"/>
      <c r="E864" s="1"/>
      <c r="F864" s="15"/>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row>
    <row r="865" spans="1:56" ht="16.5" customHeight="1" x14ac:dyDescent="0.3">
      <c r="A865" s="14"/>
      <c r="B865" s="14"/>
      <c r="C865" s="14"/>
      <c r="D865" s="14"/>
      <c r="E865" s="1"/>
      <c r="F865" s="15"/>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row>
    <row r="866" spans="1:56" ht="16.5" customHeight="1" x14ac:dyDescent="0.3">
      <c r="A866" s="14"/>
      <c r="B866" s="14"/>
      <c r="C866" s="14"/>
      <c r="D866" s="14"/>
      <c r="E866" s="1"/>
      <c r="F866" s="15"/>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row>
    <row r="867" spans="1:56" ht="16.5" customHeight="1" x14ac:dyDescent="0.3">
      <c r="A867" s="14"/>
      <c r="B867" s="14"/>
      <c r="C867" s="14"/>
      <c r="D867" s="14"/>
      <c r="E867" s="1"/>
      <c r="F867" s="15"/>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row>
    <row r="868" spans="1:56" ht="16.5" customHeight="1" x14ac:dyDescent="0.3">
      <c r="A868" s="14"/>
      <c r="B868" s="14"/>
      <c r="C868" s="14"/>
      <c r="D868" s="14"/>
      <c r="E868" s="1"/>
      <c r="F868" s="15"/>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row>
    <row r="869" spans="1:56" ht="16.5" customHeight="1" x14ac:dyDescent="0.3">
      <c r="A869" s="14"/>
      <c r="B869" s="14"/>
      <c r="C869" s="14"/>
      <c r="D869" s="14"/>
      <c r="E869" s="1"/>
      <c r="F869" s="15"/>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row>
    <row r="870" spans="1:56" ht="16.5" customHeight="1" x14ac:dyDescent="0.3">
      <c r="A870" s="14"/>
      <c r="B870" s="14"/>
      <c r="C870" s="14"/>
      <c r="D870" s="14"/>
      <c r="E870" s="1"/>
      <c r="F870" s="15"/>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row>
    <row r="871" spans="1:56" ht="16.5" customHeight="1" x14ac:dyDescent="0.3">
      <c r="A871" s="14"/>
      <c r="B871" s="14"/>
      <c r="C871" s="14"/>
      <c r="D871" s="14"/>
      <c r="E871" s="1"/>
      <c r="F871" s="15"/>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row>
    <row r="872" spans="1:56" ht="16.5" customHeight="1" x14ac:dyDescent="0.3">
      <c r="A872" s="14"/>
      <c r="B872" s="14"/>
      <c r="C872" s="14"/>
      <c r="D872" s="14"/>
      <c r="E872" s="1"/>
      <c r="F872" s="15"/>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row>
    <row r="873" spans="1:56" ht="16.5" customHeight="1" x14ac:dyDescent="0.3">
      <c r="A873" s="14"/>
      <c r="B873" s="14"/>
      <c r="C873" s="14"/>
      <c r="D873" s="14"/>
      <c r="E873" s="1"/>
      <c r="F873" s="15"/>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row>
    <row r="874" spans="1:56" ht="16.5" customHeight="1" x14ac:dyDescent="0.3">
      <c r="A874" s="14"/>
      <c r="B874" s="14"/>
      <c r="C874" s="14"/>
      <c r="D874" s="14"/>
      <c r="E874" s="1"/>
      <c r="F874" s="15"/>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row>
    <row r="875" spans="1:56" ht="16.5" customHeight="1" x14ac:dyDescent="0.3">
      <c r="A875" s="14"/>
      <c r="B875" s="14"/>
      <c r="C875" s="14"/>
      <c r="D875" s="14"/>
      <c r="E875" s="1"/>
      <c r="F875" s="15"/>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row>
    <row r="876" spans="1:56" ht="16.5" customHeight="1" x14ac:dyDescent="0.3">
      <c r="A876" s="14"/>
      <c r="B876" s="14"/>
      <c r="C876" s="14"/>
      <c r="D876" s="14"/>
      <c r="E876" s="1"/>
      <c r="F876" s="15"/>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row>
    <row r="877" spans="1:56" ht="16.5" customHeight="1" x14ac:dyDescent="0.3">
      <c r="A877" s="14"/>
      <c r="B877" s="14"/>
      <c r="C877" s="14"/>
      <c r="D877" s="14"/>
      <c r="E877" s="1"/>
      <c r="F877" s="15"/>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row>
    <row r="878" spans="1:56" ht="16.5" customHeight="1" x14ac:dyDescent="0.3">
      <c r="A878" s="14"/>
      <c r="B878" s="14"/>
      <c r="C878" s="14"/>
      <c r="D878" s="14"/>
      <c r="E878" s="1"/>
      <c r="F878" s="15"/>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row>
    <row r="879" spans="1:56" ht="16.5" customHeight="1" x14ac:dyDescent="0.3">
      <c r="A879" s="14"/>
      <c r="B879" s="14"/>
      <c r="C879" s="14"/>
      <c r="D879" s="14"/>
      <c r="E879" s="1"/>
      <c r="F879" s="15"/>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row>
    <row r="880" spans="1:56" ht="16.5" customHeight="1" x14ac:dyDescent="0.3">
      <c r="A880" s="14"/>
      <c r="B880" s="14"/>
      <c r="C880" s="14"/>
      <c r="D880" s="14"/>
      <c r="E880" s="1"/>
      <c r="F880" s="15"/>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row>
    <row r="881" spans="1:56" ht="16.5" customHeight="1" x14ac:dyDescent="0.3">
      <c r="A881" s="14"/>
      <c r="B881" s="14"/>
      <c r="C881" s="14"/>
      <c r="D881" s="14"/>
      <c r="E881" s="1"/>
      <c r="F881" s="15"/>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row>
    <row r="882" spans="1:56" ht="16.5" customHeight="1" x14ac:dyDescent="0.3">
      <c r="A882" s="14"/>
      <c r="B882" s="14"/>
      <c r="C882" s="14"/>
      <c r="D882" s="14"/>
      <c r="E882" s="1"/>
      <c r="F882" s="15"/>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row>
    <row r="883" spans="1:56" ht="16.5" customHeight="1" x14ac:dyDescent="0.3">
      <c r="A883" s="14"/>
      <c r="B883" s="14"/>
      <c r="C883" s="14"/>
      <c r="D883" s="14"/>
      <c r="E883" s="1"/>
      <c r="F883" s="15"/>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row>
    <row r="884" spans="1:56" ht="16.5" customHeight="1" x14ac:dyDescent="0.3">
      <c r="A884" s="14"/>
      <c r="B884" s="14"/>
      <c r="C884" s="14"/>
      <c r="D884" s="14"/>
      <c r="E884" s="1"/>
      <c r="F884" s="15"/>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row>
    <row r="885" spans="1:56" ht="16.5" customHeight="1" x14ac:dyDescent="0.3">
      <c r="A885" s="14"/>
      <c r="B885" s="14"/>
      <c r="C885" s="14"/>
      <c r="D885" s="14"/>
      <c r="E885" s="1"/>
      <c r="F885" s="15"/>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row>
    <row r="886" spans="1:56" ht="16.5" customHeight="1" x14ac:dyDescent="0.3">
      <c r="A886" s="14"/>
      <c r="B886" s="14"/>
      <c r="C886" s="14"/>
      <c r="D886" s="14"/>
      <c r="E886" s="1"/>
      <c r="F886" s="15"/>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row>
    <row r="887" spans="1:56" ht="16.5" customHeight="1" x14ac:dyDescent="0.3">
      <c r="A887" s="14"/>
      <c r="B887" s="14"/>
      <c r="C887" s="14"/>
      <c r="D887" s="14"/>
      <c r="E887" s="1"/>
      <c r="F887" s="15"/>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row>
    <row r="888" spans="1:56" ht="16.5" customHeight="1" x14ac:dyDescent="0.3">
      <c r="A888" s="14"/>
      <c r="B888" s="14"/>
      <c r="C888" s="14"/>
      <c r="D888" s="14"/>
      <c r="E888" s="1"/>
      <c r="F888" s="15"/>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row>
    <row r="889" spans="1:56" ht="16.5" customHeight="1" x14ac:dyDescent="0.3">
      <c r="A889" s="14"/>
      <c r="B889" s="14"/>
      <c r="C889" s="14"/>
      <c r="D889" s="14"/>
      <c r="E889" s="1"/>
      <c r="F889" s="15"/>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row>
    <row r="890" spans="1:56" ht="16.5" customHeight="1" x14ac:dyDescent="0.3">
      <c r="A890" s="14"/>
      <c r="B890" s="14"/>
      <c r="C890" s="14"/>
      <c r="D890" s="14"/>
      <c r="E890" s="1"/>
      <c r="F890" s="15"/>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row>
    <row r="891" spans="1:56" ht="16.5" customHeight="1" x14ac:dyDescent="0.3">
      <c r="A891" s="14"/>
      <c r="B891" s="14"/>
      <c r="C891" s="14"/>
      <c r="D891" s="14"/>
      <c r="E891" s="1"/>
      <c r="F891" s="15"/>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row>
    <row r="892" spans="1:56" ht="16.5" customHeight="1" x14ac:dyDescent="0.3">
      <c r="A892" s="14"/>
      <c r="B892" s="14"/>
      <c r="C892" s="14"/>
      <c r="D892" s="14"/>
      <c r="E892" s="1"/>
      <c r="F892" s="15"/>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row>
    <row r="893" spans="1:56" ht="16.5" customHeight="1" x14ac:dyDescent="0.3">
      <c r="A893" s="14"/>
      <c r="B893" s="14"/>
      <c r="C893" s="14"/>
      <c r="D893" s="14"/>
      <c r="E893" s="1"/>
      <c r="F893" s="15"/>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row>
    <row r="894" spans="1:56" ht="16.5" customHeight="1" x14ac:dyDescent="0.3">
      <c r="A894" s="14"/>
      <c r="B894" s="14"/>
      <c r="C894" s="14"/>
      <c r="D894" s="14"/>
      <c r="E894" s="1"/>
      <c r="F894" s="15"/>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row>
    <row r="895" spans="1:56" ht="16.5" customHeight="1" x14ac:dyDescent="0.3">
      <c r="A895" s="14"/>
      <c r="B895" s="14"/>
      <c r="C895" s="14"/>
      <c r="D895" s="14"/>
      <c r="E895" s="1"/>
      <c r="F895" s="15"/>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row>
    <row r="896" spans="1:56" ht="16.5" customHeight="1" x14ac:dyDescent="0.3">
      <c r="A896" s="14"/>
      <c r="B896" s="14"/>
      <c r="C896" s="14"/>
      <c r="D896" s="14"/>
      <c r="E896" s="1"/>
      <c r="F896" s="15"/>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row>
    <row r="897" spans="1:56" ht="16.5" customHeight="1" x14ac:dyDescent="0.3">
      <c r="A897" s="14"/>
      <c r="B897" s="14"/>
      <c r="C897" s="14"/>
      <c r="D897" s="14"/>
      <c r="E897" s="1"/>
      <c r="F897" s="15"/>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row>
    <row r="898" spans="1:56" ht="16.5" customHeight="1" x14ac:dyDescent="0.3">
      <c r="A898" s="14"/>
      <c r="B898" s="14"/>
      <c r="C898" s="14"/>
      <c r="D898" s="14"/>
      <c r="E898" s="1"/>
      <c r="F898" s="15"/>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row>
    <row r="899" spans="1:56" ht="16.5" customHeight="1" x14ac:dyDescent="0.3">
      <c r="A899" s="14"/>
      <c r="B899" s="14"/>
      <c r="C899" s="14"/>
      <c r="D899" s="14"/>
      <c r="E899" s="1"/>
      <c r="F899" s="15"/>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row>
    <row r="900" spans="1:56" ht="16.5" customHeight="1" x14ac:dyDescent="0.3">
      <c r="A900" s="14"/>
      <c r="B900" s="14"/>
      <c r="C900" s="14"/>
      <c r="D900" s="14"/>
      <c r="E900" s="1"/>
      <c r="F900" s="15"/>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row>
    <row r="901" spans="1:56" ht="16.5" customHeight="1" x14ac:dyDescent="0.3">
      <c r="A901" s="14"/>
      <c r="B901" s="14"/>
      <c r="C901" s="14"/>
      <c r="D901" s="14"/>
      <c r="E901" s="1"/>
      <c r="F901" s="15"/>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row>
    <row r="902" spans="1:56" ht="16.5" customHeight="1" x14ac:dyDescent="0.3">
      <c r="A902" s="14"/>
      <c r="B902" s="14"/>
      <c r="C902" s="14"/>
      <c r="D902" s="14"/>
      <c r="E902" s="1"/>
      <c r="F902" s="15"/>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row>
    <row r="903" spans="1:56" ht="16.5" customHeight="1" x14ac:dyDescent="0.3">
      <c r="A903" s="14"/>
      <c r="B903" s="14"/>
      <c r="C903" s="14"/>
      <c r="D903" s="14"/>
      <c r="E903" s="1"/>
      <c r="F903" s="15"/>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row>
    <row r="904" spans="1:56" ht="16.5" customHeight="1" x14ac:dyDescent="0.3">
      <c r="A904" s="14"/>
      <c r="B904" s="14"/>
      <c r="C904" s="14"/>
      <c r="D904" s="14"/>
      <c r="E904" s="1"/>
      <c r="F904" s="15"/>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row>
    <row r="905" spans="1:56" ht="16.5" customHeight="1" x14ac:dyDescent="0.3">
      <c r="A905" s="14"/>
      <c r="B905" s="14"/>
      <c r="C905" s="14"/>
      <c r="D905" s="14"/>
      <c r="E905" s="1"/>
      <c r="F905" s="15"/>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row>
    <row r="906" spans="1:56" ht="16.5" customHeight="1" x14ac:dyDescent="0.3">
      <c r="A906" s="14"/>
      <c r="B906" s="14"/>
      <c r="C906" s="14"/>
      <c r="D906" s="14"/>
      <c r="E906" s="1"/>
      <c r="F906" s="15"/>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row>
    <row r="907" spans="1:56" ht="16.5" customHeight="1" x14ac:dyDescent="0.3">
      <c r="A907" s="14"/>
      <c r="B907" s="14"/>
      <c r="C907" s="14"/>
      <c r="D907" s="14"/>
      <c r="E907" s="1"/>
      <c r="F907" s="15"/>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row>
    <row r="908" spans="1:56" ht="16.5" customHeight="1" x14ac:dyDescent="0.3">
      <c r="A908" s="14"/>
      <c r="B908" s="14"/>
      <c r="C908" s="14"/>
      <c r="D908" s="14"/>
      <c r="E908" s="1"/>
      <c r="F908" s="15"/>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row>
    <row r="909" spans="1:56" ht="16.5" customHeight="1" x14ac:dyDescent="0.3">
      <c r="A909" s="14"/>
      <c r="B909" s="14"/>
      <c r="C909" s="14"/>
      <c r="D909" s="14"/>
      <c r="E909" s="1"/>
      <c r="F909" s="15"/>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row>
    <row r="910" spans="1:56" ht="16.5" customHeight="1" x14ac:dyDescent="0.3">
      <c r="A910" s="14"/>
      <c r="B910" s="14"/>
      <c r="C910" s="14"/>
      <c r="D910" s="14"/>
      <c r="E910" s="1"/>
      <c r="F910" s="15"/>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row>
    <row r="911" spans="1:56" ht="16.5" customHeight="1" x14ac:dyDescent="0.3">
      <c r="A911" s="14"/>
      <c r="B911" s="14"/>
      <c r="C911" s="14"/>
      <c r="D911" s="14"/>
      <c r="E911" s="1"/>
      <c r="F911" s="15"/>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row>
    <row r="912" spans="1:56" ht="16.5" customHeight="1" x14ac:dyDescent="0.3">
      <c r="A912" s="14"/>
      <c r="B912" s="14"/>
      <c r="C912" s="14"/>
      <c r="D912" s="14"/>
      <c r="E912" s="1"/>
      <c r="F912" s="15"/>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row>
    <row r="913" spans="1:56" ht="16.5" customHeight="1" x14ac:dyDescent="0.3">
      <c r="A913" s="14"/>
      <c r="B913" s="14"/>
      <c r="C913" s="14"/>
      <c r="D913" s="14"/>
      <c r="E913" s="1"/>
      <c r="F913" s="15"/>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row>
    <row r="914" spans="1:56" ht="16.5" customHeight="1" x14ac:dyDescent="0.3">
      <c r="A914" s="14"/>
      <c r="B914" s="14"/>
      <c r="C914" s="14"/>
      <c r="D914" s="14"/>
      <c r="E914" s="1"/>
      <c r="F914" s="15"/>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row>
    <row r="915" spans="1:56" ht="16.5" customHeight="1" x14ac:dyDescent="0.3">
      <c r="A915" s="14"/>
      <c r="B915" s="14"/>
      <c r="C915" s="14"/>
      <c r="D915" s="14"/>
      <c r="E915" s="1"/>
      <c r="F915" s="15"/>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row>
    <row r="916" spans="1:56" ht="16.5" customHeight="1" x14ac:dyDescent="0.3">
      <c r="A916" s="14"/>
      <c r="B916" s="14"/>
      <c r="C916" s="14"/>
      <c r="D916" s="14"/>
      <c r="E916" s="1"/>
      <c r="F916" s="15"/>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row>
    <row r="917" spans="1:56" ht="16.5" customHeight="1" x14ac:dyDescent="0.3">
      <c r="A917" s="14"/>
      <c r="B917" s="14"/>
      <c r="C917" s="14"/>
      <c r="D917" s="14"/>
      <c r="E917" s="1"/>
      <c r="F917" s="15"/>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row>
    <row r="918" spans="1:56" ht="16.5" customHeight="1" x14ac:dyDescent="0.3">
      <c r="A918" s="14"/>
      <c r="B918" s="14"/>
      <c r="C918" s="14"/>
      <c r="D918" s="14"/>
      <c r="E918" s="1"/>
      <c r="F918" s="15"/>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row>
    <row r="919" spans="1:56" ht="16.5" customHeight="1" x14ac:dyDescent="0.3">
      <c r="A919" s="14"/>
      <c r="B919" s="14"/>
      <c r="C919" s="14"/>
      <c r="D919" s="14"/>
      <c r="E919" s="1"/>
      <c r="F919" s="15"/>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row>
    <row r="920" spans="1:56" ht="16.5" customHeight="1" x14ac:dyDescent="0.3">
      <c r="A920" s="14"/>
      <c r="B920" s="14"/>
      <c r="C920" s="14"/>
      <c r="D920" s="14"/>
      <c r="E920" s="1"/>
      <c r="F920" s="15"/>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row>
    <row r="921" spans="1:56" ht="16.5" customHeight="1" x14ac:dyDescent="0.3">
      <c r="A921" s="14"/>
      <c r="B921" s="14"/>
      <c r="C921" s="14"/>
      <c r="D921" s="14"/>
      <c r="E921" s="1"/>
      <c r="F921" s="15"/>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row>
    <row r="922" spans="1:56" ht="16.5" customHeight="1" x14ac:dyDescent="0.3">
      <c r="A922" s="14"/>
      <c r="B922" s="14"/>
      <c r="C922" s="14"/>
      <c r="D922" s="14"/>
      <c r="E922" s="1"/>
      <c r="F922" s="15"/>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row>
    <row r="923" spans="1:56" ht="16.5" customHeight="1" x14ac:dyDescent="0.3">
      <c r="A923" s="14"/>
      <c r="B923" s="14"/>
      <c r="C923" s="14"/>
      <c r="D923" s="14"/>
      <c r="E923" s="1"/>
      <c r="F923" s="15"/>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row>
    <row r="924" spans="1:56" ht="16.5" customHeight="1" x14ac:dyDescent="0.3">
      <c r="A924" s="14"/>
      <c r="B924" s="14"/>
      <c r="C924" s="14"/>
      <c r="D924" s="14"/>
      <c r="E924" s="1"/>
      <c r="F924" s="15"/>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row>
    <row r="925" spans="1:56" ht="16.5" customHeight="1" x14ac:dyDescent="0.3">
      <c r="A925" s="14"/>
      <c r="B925" s="14"/>
      <c r="C925" s="14"/>
      <c r="D925" s="14"/>
      <c r="E925" s="1"/>
      <c r="F925" s="15"/>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row>
    <row r="926" spans="1:56" ht="16.5" customHeight="1" x14ac:dyDescent="0.3">
      <c r="A926" s="14"/>
      <c r="B926" s="14"/>
      <c r="C926" s="14"/>
      <c r="D926" s="14"/>
      <c r="E926" s="1"/>
      <c r="F926" s="15"/>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row>
    <row r="927" spans="1:56" ht="16.5" customHeight="1" x14ac:dyDescent="0.3">
      <c r="A927" s="14"/>
      <c r="B927" s="14"/>
      <c r="C927" s="14"/>
      <c r="D927" s="14"/>
      <c r="E927" s="1"/>
      <c r="F927" s="15"/>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row>
    <row r="928" spans="1:56" ht="16.5" customHeight="1" x14ac:dyDescent="0.3">
      <c r="A928" s="14"/>
      <c r="B928" s="14"/>
      <c r="C928" s="14"/>
      <c r="D928" s="14"/>
      <c r="E928" s="1"/>
      <c r="F928" s="15"/>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row>
    <row r="929" spans="1:56" ht="16.5" customHeight="1" x14ac:dyDescent="0.3">
      <c r="A929" s="14"/>
      <c r="B929" s="14"/>
      <c r="C929" s="14"/>
      <c r="D929" s="14"/>
      <c r="E929" s="1"/>
      <c r="F929" s="15"/>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row>
    <row r="930" spans="1:56" ht="16.5" customHeight="1" x14ac:dyDescent="0.3">
      <c r="A930" s="14"/>
      <c r="B930" s="14"/>
      <c r="C930" s="14"/>
      <c r="D930" s="14"/>
      <c r="E930" s="1"/>
      <c r="F930" s="15"/>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row>
    <row r="931" spans="1:56" ht="16.5" customHeight="1" x14ac:dyDescent="0.3">
      <c r="A931" s="14"/>
      <c r="B931" s="14"/>
      <c r="C931" s="14"/>
      <c r="D931" s="14"/>
      <c r="E931" s="1"/>
      <c r="F931" s="15"/>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row>
    <row r="932" spans="1:56" ht="16.5" customHeight="1" x14ac:dyDescent="0.3">
      <c r="A932" s="14"/>
      <c r="B932" s="14"/>
      <c r="C932" s="14"/>
      <c r="D932" s="14"/>
      <c r="E932" s="1"/>
      <c r="F932" s="15"/>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row>
    <row r="933" spans="1:56" ht="16.5" customHeight="1" x14ac:dyDescent="0.3">
      <c r="A933" s="14"/>
      <c r="B933" s="14"/>
      <c r="C933" s="14"/>
      <c r="D933" s="14"/>
      <c r="E933" s="1"/>
      <c r="F933" s="15"/>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row>
    <row r="934" spans="1:56" ht="16.5" customHeight="1" x14ac:dyDescent="0.3">
      <c r="A934" s="14"/>
      <c r="B934" s="14"/>
      <c r="C934" s="14"/>
      <c r="D934" s="14"/>
      <c r="E934" s="1"/>
      <c r="F934" s="15"/>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row>
    <row r="935" spans="1:56" ht="16.5" customHeight="1" x14ac:dyDescent="0.3">
      <c r="A935" s="14"/>
      <c r="B935" s="14"/>
      <c r="C935" s="14"/>
      <c r="D935" s="14"/>
      <c r="E935" s="1"/>
      <c r="F935" s="15"/>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row>
    <row r="936" spans="1:56" ht="16.5" customHeight="1" x14ac:dyDescent="0.3">
      <c r="A936" s="14"/>
      <c r="B936" s="14"/>
      <c r="C936" s="14"/>
      <c r="D936" s="14"/>
      <c r="E936" s="1"/>
      <c r="F936" s="15"/>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row>
    <row r="937" spans="1:56" ht="16.5" customHeight="1" x14ac:dyDescent="0.3">
      <c r="A937" s="14"/>
      <c r="B937" s="14"/>
      <c r="C937" s="14"/>
      <c r="D937" s="14"/>
      <c r="E937" s="1"/>
      <c r="F937" s="15"/>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row>
    <row r="938" spans="1:56" ht="16.5" customHeight="1" x14ac:dyDescent="0.3">
      <c r="A938" s="14"/>
      <c r="B938" s="14"/>
      <c r="C938" s="14"/>
      <c r="D938" s="14"/>
      <c r="E938" s="1"/>
      <c r="F938" s="15"/>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row>
    <row r="939" spans="1:56" ht="16.5" customHeight="1" x14ac:dyDescent="0.3">
      <c r="A939" s="14"/>
      <c r="B939" s="14"/>
      <c r="C939" s="14"/>
      <c r="D939" s="14"/>
      <c r="E939" s="1"/>
      <c r="F939" s="15"/>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row>
    <row r="940" spans="1:56" ht="16.5" customHeight="1" x14ac:dyDescent="0.3">
      <c r="A940" s="14"/>
      <c r="B940" s="14"/>
      <c r="C940" s="14"/>
      <c r="D940" s="14"/>
      <c r="E940" s="1"/>
      <c r="F940" s="15"/>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row>
    <row r="941" spans="1:56" ht="16.5" customHeight="1" x14ac:dyDescent="0.3">
      <c r="A941" s="14"/>
      <c r="B941" s="14"/>
      <c r="C941" s="14"/>
      <c r="D941" s="14"/>
      <c r="E941" s="1"/>
      <c r="F941" s="15"/>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row>
    <row r="942" spans="1:56" ht="16.5" customHeight="1" x14ac:dyDescent="0.3">
      <c r="A942" s="14"/>
      <c r="B942" s="14"/>
      <c r="C942" s="14"/>
      <c r="D942" s="14"/>
      <c r="E942" s="1"/>
      <c r="F942" s="15"/>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row>
    <row r="943" spans="1:56" ht="16.5" customHeight="1" x14ac:dyDescent="0.3">
      <c r="A943" s="14"/>
      <c r="B943" s="14"/>
      <c r="C943" s="14"/>
      <c r="D943" s="14"/>
      <c r="E943" s="1"/>
      <c r="F943" s="15"/>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row>
    <row r="944" spans="1:56" ht="16.5" customHeight="1" x14ac:dyDescent="0.3">
      <c r="A944" s="14"/>
      <c r="B944" s="14"/>
      <c r="C944" s="14"/>
      <c r="D944" s="14"/>
      <c r="E944" s="1"/>
      <c r="F944" s="15"/>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row>
    <row r="945" spans="1:56" ht="16.5" customHeight="1" x14ac:dyDescent="0.3">
      <c r="A945" s="14"/>
      <c r="B945" s="14"/>
      <c r="C945" s="14"/>
      <c r="D945" s="14"/>
      <c r="E945" s="1"/>
      <c r="F945" s="15"/>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row>
    <row r="946" spans="1:56" ht="16.5" customHeight="1" x14ac:dyDescent="0.3">
      <c r="A946" s="14"/>
      <c r="B946" s="14"/>
      <c r="C946" s="14"/>
      <c r="D946" s="14"/>
      <c r="E946" s="1"/>
      <c r="F946" s="15"/>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row>
    <row r="947" spans="1:56" ht="16.5" customHeight="1" x14ac:dyDescent="0.3">
      <c r="A947" s="14"/>
      <c r="B947" s="14"/>
      <c r="C947" s="14"/>
      <c r="D947" s="14"/>
      <c r="E947" s="1"/>
      <c r="F947" s="15"/>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row>
    <row r="948" spans="1:56" ht="16.5" customHeight="1" x14ac:dyDescent="0.3">
      <c r="A948" s="14"/>
      <c r="B948" s="14"/>
      <c r="C948" s="14"/>
      <c r="D948" s="14"/>
      <c r="E948" s="1"/>
      <c r="F948" s="15"/>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row>
    <row r="949" spans="1:56" ht="16.5" customHeight="1" x14ac:dyDescent="0.3">
      <c r="A949" s="14"/>
      <c r="B949" s="14"/>
      <c r="C949" s="14"/>
      <c r="D949" s="14"/>
      <c r="E949" s="1"/>
      <c r="F949" s="15"/>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row>
    <row r="950" spans="1:56" ht="16.5" customHeight="1" x14ac:dyDescent="0.3">
      <c r="A950" s="14"/>
      <c r="B950" s="14"/>
      <c r="C950" s="14"/>
      <c r="D950" s="14"/>
      <c r="E950" s="1"/>
      <c r="F950" s="15"/>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row>
    <row r="951" spans="1:56" ht="16.5" customHeight="1" x14ac:dyDescent="0.3">
      <c r="A951" s="14"/>
      <c r="B951" s="14"/>
      <c r="C951" s="14"/>
      <c r="D951" s="14"/>
      <c r="E951" s="1"/>
      <c r="F951" s="15"/>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row>
    <row r="952" spans="1:56" ht="16.5" customHeight="1" x14ac:dyDescent="0.3">
      <c r="A952" s="14"/>
      <c r="B952" s="14"/>
      <c r="C952" s="14"/>
      <c r="D952" s="14"/>
      <c r="E952" s="1"/>
      <c r="F952" s="15"/>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row>
    <row r="953" spans="1:56" ht="16.5" customHeight="1" x14ac:dyDescent="0.3">
      <c r="A953" s="14"/>
      <c r="B953" s="14"/>
      <c r="C953" s="14"/>
      <c r="D953" s="14"/>
      <c r="E953" s="1"/>
      <c r="F953" s="15"/>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row>
    <row r="954" spans="1:56" ht="16.5" customHeight="1" x14ac:dyDescent="0.3">
      <c r="A954" s="14"/>
      <c r="B954" s="14"/>
      <c r="C954" s="14"/>
      <c r="D954" s="14"/>
      <c r="E954" s="1"/>
      <c r="F954" s="15"/>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row>
    <row r="955" spans="1:56" ht="16.5" customHeight="1" x14ac:dyDescent="0.3">
      <c r="A955" s="14"/>
      <c r="B955" s="14"/>
      <c r="C955" s="14"/>
      <c r="D955" s="14"/>
      <c r="E955" s="1"/>
      <c r="F955" s="15"/>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row>
    <row r="956" spans="1:56" ht="16.5" customHeight="1" x14ac:dyDescent="0.3">
      <c r="A956" s="14"/>
      <c r="B956" s="14"/>
      <c r="C956" s="14"/>
      <c r="D956" s="14"/>
      <c r="E956" s="1"/>
      <c r="F956" s="15"/>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row>
    <row r="957" spans="1:56" ht="16.5" customHeight="1" x14ac:dyDescent="0.3">
      <c r="A957" s="14"/>
      <c r="B957" s="14"/>
      <c r="C957" s="14"/>
      <c r="D957" s="14"/>
      <c r="E957" s="1"/>
      <c r="F957" s="15"/>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row>
    <row r="958" spans="1:56" ht="16.5" customHeight="1" x14ac:dyDescent="0.3">
      <c r="A958" s="14"/>
      <c r="B958" s="14"/>
      <c r="C958" s="14"/>
      <c r="D958" s="14"/>
      <c r="E958" s="1"/>
      <c r="F958" s="15"/>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row>
    <row r="959" spans="1:56" ht="16.5" customHeight="1" x14ac:dyDescent="0.3">
      <c r="A959" s="14"/>
      <c r="B959" s="14"/>
      <c r="C959" s="14"/>
      <c r="D959" s="14"/>
      <c r="E959" s="1"/>
      <c r="F959" s="15"/>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row>
    <row r="960" spans="1:56" ht="16.5" customHeight="1" x14ac:dyDescent="0.3">
      <c r="A960" s="14"/>
      <c r="B960" s="14"/>
      <c r="C960" s="14"/>
      <c r="D960" s="14"/>
      <c r="E960" s="1"/>
      <c r="F960" s="15"/>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row>
    <row r="961" spans="1:56" ht="16.5" customHeight="1" x14ac:dyDescent="0.3">
      <c r="A961" s="14"/>
      <c r="B961" s="14"/>
      <c r="C961" s="14"/>
      <c r="D961" s="14"/>
      <c r="E961" s="1"/>
      <c r="F961" s="15"/>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row>
    <row r="962" spans="1:56" ht="16.5" customHeight="1" x14ac:dyDescent="0.3">
      <c r="A962" s="14"/>
      <c r="B962" s="14"/>
      <c r="C962" s="14"/>
      <c r="D962" s="14"/>
      <c r="E962" s="1"/>
      <c r="F962" s="15"/>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row>
    <row r="963" spans="1:56" ht="16.5" customHeight="1" x14ac:dyDescent="0.3">
      <c r="A963" s="14"/>
      <c r="B963" s="14"/>
      <c r="C963" s="14"/>
      <c r="D963" s="14"/>
      <c r="E963" s="1"/>
      <c r="F963" s="15"/>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row>
    <row r="964" spans="1:56" ht="16.5" customHeight="1" x14ac:dyDescent="0.3">
      <c r="A964" s="14"/>
      <c r="B964" s="14"/>
      <c r="C964" s="14"/>
      <c r="D964" s="14"/>
      <c r="E964" s="1"/>
      <c r="F964" s="15"/>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row>
    <row r="965" spans="1:56" ht="16.5" customHeight="1" x14ac:dyDescent="0.3">
      <c r="A965" s="14"/>
      <c r="B965" s="14"/>
      <c r="C965" s="14"/>
      <c r="D965" s="14"/>
      <c r="E965" s="1"/>
      <c r="F965" s="15"/>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row>
    <row r="966" spans="1:56" ht="16.5" customHeight="1" x14ac:dyDescent="0.3">
      <c r="A966" s="14"/>
      <c r="B966" s="14"/>
      <c r="C966" s="14"/>
      <c r="D966" s="14"/>
      <c r="E966" s="1"/>
      <c r="F966" s="15"/>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row>
    <row r="967" spans="1:56" ht="16.5" customHeight="1" x14ac:dyDescent="0.3">
      <c r="A967" s="14"/>
      <c r="B967" s="14"/>
      <c r="C967" s="14"/>
      <c r="D967" s="14"/>
      <c r="E967" s="1"/>
      <c r="F967" s="15"/>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row>
    <row r="968" spans="1:56" ht="16.5" customHeight="1" x14ac:dyDescent="0.3">
      <c r="A968" s="14"/>
      <c r="B968" s="14"/>
      <c r="C968" s="14"/>
      <c r="D968" s="14"/>
      <c r="E968" s="1"/>
      <c r="F968" s="15"/>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row>
    <row r="969" spans="1:56" ht="16.5" customHeight="1" x14ac:dyDescent="0.3">
      <c r="A969" s="14"/>
      <c r="B969" s="14"/>
      <c r="C969" s="14"/>
      <c r="D969" s="14"/>
      <c r="E969" s="1"/>
      <c r="F969" s="15"/>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row>
    <row r="970" spans="1:56" ht="16.5" customHeight="1" x14ac:dyDescent="0.3">
      <c r="A970" s="14"/>
      <c r="B970" s="14"/>
      <c r="C970" s="14"/>
      <c r="D970" s="14"/>
      <c r="E970" s="1"/>
      <c r="F970" s="15"/>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row>
    <row r="971" spans="1:56" ht="16.5" customHeight="1" x14ac:dyDescent="0.3">
      <c r="A971" s="14"/>
      <c r="B971" s="14"/>
      <c r="C971" s="14"/>
      <c r="D971" s="14"/>
      <c r="E971" s="1"/>
      <c r="F971" s="15"/>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row>
    <row r="972" spans="1:56" ht="16.5" customHeight="1" x14ac:dyDescent="0.3">
      <c r="A972" s="14"/>
      <c r="B972" s="14"/>
      <c r="C972" s="14"/>
      <c r="D972" s="14"/>
      <c r="E972" s="1"/>
      <c r="F972" s="15"/>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row>
    <row r="973" spans="1:56" ht="16.5" customHeight="1" x14ac:dyDescent="0.3">
      <c r="A973" s="14"/>
      <c r="B973" s="14"/>
      <c r="C973" s="14"/>
      <c r="D973" s="14"/>
      <c r="E973" s="1"/>
      <c r="F973" s="15"/>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row>
    <row r="974" spans="1:56" ht="16.5" customHeight="1" x14ac:dyDescent="0.3">
      <c r="A974" s="14"/>
      <c r="B974" s="14"/>
      <c r="C974" s="14"/>
      <c r="D974" s="14"/>
      <c r="E974" s="1"/>
      <c r="F974" s="15"/>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row>
    <row r="975" spans="1:56" ht="16.5" customHeight="1" x14ac:dyDescent="0.3">
      <c r="A975" s="14"/>
      <c r="B975" s="14"/>
      <c r="C975" s="14"/>
      <c r="D975" s="14"/>
      <c r="E975" s="1"/>
      <c r="F975" s="15"/>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row>
    <row r="976" spans="1:56" ht="16.5" customHeight="1" x14ac:dyDescent="0.3">
      <c r="A976" s="14"/>
      <c r="B976" s="14"/>
      <c r="C976" s="14"/>
      <c r="D976" s="14"/>
      <c r="E976" s="1"/>
      <c r="F976" s="15"/>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row>
    <row r="977" spans="1:56" ht="16.5" customHeight="1" x14ac:dyDescent="0.3">
      <c r="A977" s="14"/>
      <c r="B977" s="14"/>
      <c r="C977" s="14"/>
      <c r="D977" s="14"/>
      <c r="E977" s="1"/>
      <c r="F977" s="15"/>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row>
    <row r="978" spans="1:56" ht="16.5" customHeight="1" x14ac:dyDescent="0.3">
      <c r="A978" s="14"/>
      <c r="B978" s="14"/>
      <c r="C978" s="14"/>
      <c r="D978" s="14"/>
      <c r="E978" s="1"/>
      <c r="F978" s="15"/>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row>
    <row r="979" spans="1:56" ht="16.5" customHeight="1" x14ac:dyDescent="0.3">
      <c r="A979" s="14"/>
      <c r="B979" s="14"/>
      <c r="C979" s="14"/>
      <c r="D979" s="14"/>
      <c r="E979" s="1"/>
      <c r="F979" s="15"/>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row>
    <row r="980" spans="1:56" ht="16.5" customHeight="1" x14ac:dyDescent="0.3">
      <c r="A980" s="14"/>
      <c r="B980" s="14"/>
      <c r="C980" s="14"/>
      <c r="D980" s="14"/>
      <c r="E980" s="1"/>
      <c r="F980" s="15"/>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row>
    <row r="981" spans="1:56" ht="16.5" customHeight="1" x14ac:dyDescent="0.3">
      <c r="A981" s="14"/>
      <c r="B981" s="14"/>
      <c r="C981" s="14"/>
      <c r="D981" s="14"/>
      <c r="E981" s="1"/>
      <c r="F981" s="15"/>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row>
    <row r="982" spans="1:56" ht="16.5" customHeight="1" x14ac:dyDescent="0.3">
      <c r="A982" s="14"/>
      <c r="B982" s="14"/>
      <c r="C982" s="14"/>
      <c r="D982" s="14"/>
      <c r="E982" s="1"/>
      <c r="F982" s="15"/>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row>
    <row r="983" spans="1:56" ht="16.5" customHeight="1" x14ac:dyDescent="0.3">
      <c r="A983" s="14"/>
      <c r="B983" s="14"/>
      <c r="C983" s="14"/>
      <c r="D983" s="14"/>
      <c r="E983" s="1"/>
      <c r="F983" s="15"/>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row>
    <row r="984" spans="1:56" ht="16.5" customHeight="1" x14ac:dyDescent="0.3">
      <c r="A984" s="14"/>
      <c r="B984" s="14"/>
      <c r="C984" s="14"/>
      <c r="D984" s="14"/>
      <c r="E984" s="1"/>
      <c r="F984" s="15"/>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row>
    <row r="985" spans="1:56" ht="16.5" customHeight="1" x14ac:dyDescent="0.3">
      <c r="A985" s="14"/>
      <c r="B985" s="14"/>
      <c r="C985" s="14"/>
      <c r="D985" s="14"/>
      <c r="E985" s="1"/>
      <c r="F985" s="15"/>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row>
    <row r="986" spans="1:56" ht="16.5" customHeight="1" x14ac:dyDescent="0.3">
      <c r="A986" s="14"/>
      <c r="B986" s="14"/>
      <c r="C986" s="14"/>
      <c r="D986" s="14"/>
      <c r="E986" s="1"/>
      <c r="F986" s="15"/>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row>
    <row r="987" spans="1:56" ht="16.5" customHeight="1" x14ac:dyDescent="0.3">
      <c r="A987" s="14"/>
      <c r="B987" s="14"/>
      <c r="C987" s="14"/>
      <c r="D987" s="14"/>
      <c r="E987" s="1"/>
      <c r="F987" s="15"/>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row>
    <row r="988" spans="1:56" ht="16.5" customHeight="1" x14ac:dyDescent="0.3">
      <c r="A988" s="14"/>
      <c r="B988" s="14"/>
      <c r="C988" s="14"/>
      <c r="D988" s="14"/>
      <c r="E988" s="1"/>
      <c r="F988" s="15"/>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row>
    <row r="989" spans="1:56" ht="16.5" customHeight="1" x14ac:dyDescent="0.3">
      <c r="A989" s="14"/>
      <c r="B989" s="14"/>
      <c r="C989" s="14"/>
      <c r="D989" s="14"/>
      <c r="E989" s="1"/>
      <c r="F989" s="15"/>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row>
    <row r="990" spans="1:56" ht="16.5" customHeight="1" x14ac:dyDescent="0.3">
      <c r="A990" s="14"/>
      <c r="B990" s="14"/>
      <c r="C990" s="14"/>
      <c r="D990" s="14"/>
      <c r="E990" s="1"/>
      <c r="F990" s="15"/>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row>
    <row r="991" spans="1:56" ht="16.5" customHeight="1" x14ac:dyDescent="0.3">
      <c r="A991" s="14"/>
      <c r="B991" s="14"/>
      <c r="C991" s="14"/>
      <c r="D991" s="14"/>
      <c r="E991" s="1"/>
      <c r="F991" s="15"/>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row>
    <row r="992" spans="1:56" ht="16.5" customHeight="1" x14ac:dyDescent="0.3">
      <c r="A992" s="14"/>
      <c r="B992" s="14"/>
      <c r="C992" s="14"/>
      <c r="D992" s="14"/>
      <c r="E992" s="1"/>
      <c r="F992" s="15"/>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row>
    <row r="993" spans="1:56" ht="16.5" customHeight="1" x14ac:dyDescent="0.3">
      <c r="A993" s="14"/>
      <c r="B993" s="14"/>
      <c r="C993" s="14"/>
      <c r="D993" s="14"/>
      <c r="E993" s="1"/>
      <c r="F993" s="15"/>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row>
    <row r="994" spans="1:56" ht="16.5" customHeight="1" x14ac:dyDescent="0.3">
      <c r="A994" s="14"/>
      <c r="B994" s="14"/>
      <c r="C994" s="14"/>
      <c r="D994" s="14"/>
      <c r="E994" s="1"/>
      <c r="F994" s="15"/>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row>
    <row r="995" spans="1:56" ht="16.5" customHeight="1" x14ac:dyDescent="0.3">
      <c r="A995" s="14"/>
      <c r="B995" s="14"/>
      <c r="C995" s="14"/>
      <c r="D995" s="14"/>
      <c r="E995" s="1"/>
      <c r="F995" s="15"/>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row>
    <row r="996" spans="1:56" ht="16.5" customHeight="1" x14ac:dyDescent="0.3">
      <c r="A996" s="14"/>
      <c r="B996" s="14"/>
      <c r="C996" s="14"/>
      <c r="D996" s="14"/>
      <c r="E996" s="1"/>
      <c r="F996" s="15"/>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row>
    <row r="997" spans="1:56" ht="16.5" customHeight="1" x14ac:dyDescent="0.3">
      <c r="A997" s="14"/>
      <c r="B997" s="14"/>
      <c r="C997" s="14"/>
      <c r="D997" s="14"/>
      <c r="E997" s="1"/>
      <c r="F997" s="15"/>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row>
    <row r="998" spans="1:56" ht="16.5" customHeight="1" x14ac:dyDescent="0.3">
      <c r="A998" s="14"/>
      <c r="B998" s="14"/>
      <c r="C998" s="14"/>
      <c r="D998" s="14"/>
      <c r="E998" s="1"/>
      <c r="F998" s="15"/>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row>
    <row r="999" spans="1:56" ht="16.5" customHeight="1" x14ac:dyDescent="0.3">
      <c r="A999" s="14"/>
      <c r="B999" s="14"/>
      <c r="C999" s="14"/>
      <c r="D999" s="14"/>
      <c r="E999" s="1"/>
      <c r="F999" s="15"/>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row>
    <row r="1000" spans="1:56" ht="16.5" customHeight="1" x14ac:dyDescent="0.3">
      <c r="A1000" s="14"/>
      <c r="B1000" s="14"/>
      <c r="C1000" s="14"/>
      <c r="D1000" s="14"/>
      <c r="E1000" s="1"/>
      <c r="F1000" s="15"/>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row>
  </sheetData>
  <mergeCells count="185">
    <mergeCell ref="A6:B6"/>
    <mergeCell ref="C6:N6"/>
    <mergeCell ref="A7:G7"/>
    <mergeCell ref="H7:N7"/>
    <mergeCell ref="O7:W7"/>
    <mergeCell ref="X7:AD7"/>
    <mergeCell ref="A1:AJ2"/>
    <mergeCell ref="A4:B4"/>
    <mergeCell ref="C4:N4"/>
    <mergeCell ref="O4:Q4"/>
    <mergeCell ref="A5:B5"/>
    <mergeCell ref="C5:N5"/>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104" priority="1" operator="equal">
      <formula>"Muy Alta"</formula>
    </cfRule>
    <cfRule type="cellIs" dxfId="103" priority="2" operator="equal">
      <formula>"Alta"</formula>
    </cfRule>
    <cfRule type="cellIs" dxfId="102" priority="3" operator="equal">
      <formula>"Media"</formula>
    </cfRule>
    <cfRule type="cellIs" dxfId="101" priority="4" operator="equal">
      <formula>"Baja"</formula>
    </cfRule>
    <cfRule type="cellIs" dxfId="100" priority="5" operator="equal">
      <formula>"Muy Baja"</formula>
    </cfRule>
  </conditionalFormatting>
  <conditionalFormatting sqref="H22">
    <cfRule type="cellIs" dxfId="99" priority="53" operator="equal">
      <formula>"Alta"</formula>
    </cfRule>
    <cfRule type="cellIs" dxfId="98" priority="52" operator="equal">
      <formula>"Muy Alta"</formula>
    </cfRule>
    <cfRule type="cellIs" dxfId="97" priority="56" operator="equal">
      <formula>"Muy Baja"</formula>
    </cfRule>
    <cfRule type="cellIs" dxfId="96" priority="55" operator="equal">
      <formula>"Baja"</formula>
    </cfRule>
    <cfRule type="cellIs" dxfId="95" priority="54" operator="equal">
      <formula>"Media"</formula>
    </cfRule>
  </conditionalFormatting>
  <conditionalFormatting sqref="H28">
    <cfRule type="cellIs" dxfId="94" priority="77" operator="equal">
      <formula>"Media"</formula>
    </cfRule>
    <cfRule type="cellIs" dxfId="93" priority="76" operator="equal">
      <formula>"Alta"</formula>
    </cfRule>
    <cfRule type="cellIs" dxfId="92" priority="75" operator="equal">
      <formula>"Muy Alta"</formula>
    </cfRule>
    <cfRule type="cellIs" dxfId="91" priority="78" operator="equal">
      <formula>"Baja"</formula>
    </cfRule>
    <cfRule type="cellIs" dxfId="90" priority="79" operator="equal">
      <formula>"Muy Baja"</formula>
    </cfRule>
  </conditionalFormatting>
  <conditionalFormatting sqref="H34">
    <cfRule type="cellIs" dxfId="89" priority="99" operator="equal">
      <formula>"Alta"</formula>
    </cfRule>
    <cfRule type="cellIs" dxfId="88" priority="98" operator="equal">
      <formula>"Muy Alta"</formula>
    </cfRule>
    <cfRule type="cellIs" dxfId="87" priority="100" operator="equal">
      <formula>"Media"</formula>
    </cfRule>
    <cfRule type="cellIs" dxfId="86" priority="102" operator="equal">
      <formula>"Muy Baja"</formula>
    </cfRule>
    <cfRule type="cellIs" dxfId="85" priority="101" operator="equal">
      <formula>"Baja"</formula>
    </cfRule>
  </conditionalFormatting>
  <conditionalFormatting sqref="H40">
    <cfRule type="cellIs" dxfId="84" priority="122" operator="equal">
      <formula>"Alta"</formula>
    </cfRule>
    <cfRule type="cellIs" dxfId="83" priority="125" operator="equal">
      <formula>"Muy Baja"</formula>
    </cfRule>
    <cfRule type="cellIs" dxfId="82" priority="124" operator="equal">
      <formula>"Baja"</formula>
    </cfRule>
    <cfRule type="cellIs" dxfId="81" priority="123" operator="equal">
      <formula>"Media"</formula>
    </cfRule>
    <cfRule type="cellIs" dxfId="80" priority="121" operator="equal">
      <formula>"Muy Alta"</formula>
    </cfRule>
  </conditionalFormatting>
  <conditionalFormatting sqref="H46">
    <cfRule type="cellIs" dxfId="79" priority="147" operator="equal">
      <formula>"Baja"</formula>
    </cfRule>
    <cfRule type="cellIs" dxfId="78" priority="148" operator="equal">
      <formula>"Muy Baja"</formula>
    </cfRule>
    <cfRule type="cellIs" dxfId="77" priority="145" operator="equal">
      <formula>"Alta"</formula>
    </cfRule>
    <cfRule type="cellIs" dxfId="76" priority="144" operator="equal">
      <formula>"Muy Alta"</formula>
    </cfRule>
    <cfRule type="cellIs" dxfId="75" priority="146" operator="equal">
      <formula>"Media"</formula>
    </cfRule>
  </conditionalFormatting>
  <conditionalFormatting sqref="H52">
    <cfRule type="cellIs" dxfId="74" priority="167" operator="equal">
      <formula>"Muy Alta"</formula>
    </cfRule>
    <cfRule type="cellIs" dxfId="73" priority="168" operator="equal">
      <formula>"Alta"</formula>
    </cfRule>
    <cfRule type="cellIs" dxfId="72" priority="169" operator="equal">
      <formula>"Media"</formula>
    </cfRule>
    <cfRule type="cellIs" dxfId="71" priority="170" operator="equal">
      <formula>"Baja"</formula>
    </cfRule>
    <cfRule type="cellIs" dxfId="70" priority="171" operator="equal">
      <formula>"Muy Baja"</formula>
    </cfRule>
  </conditionalFormatting>
  <conditionalFormatting sqref="H58">
    <cfRule type="cellIs" dxfId="69" priority="30" operator="equal">
      <formula>"Alta"</formula>
    </cfRule>
    <cfRule type="cellIs" dxfId="68" priority="31" operator="equal">
      <formula>"Media"</formula>
    </cfRule>
    <cfRule type="cellIs" dxfId="67" priority="32" operator="equal">
      <formula>"Baja"</formula>
    </cfRule>
    <cfRule type="cellIs" dxfId="66" priority="33" operator="equal">
      <formula>"Muy Baja"</formula>
    </cfRule>
    <cfRule type="cellIs" dxfId="65" priority="29" operator="equal">
      <formula>"Muy Alta"</formula>
    </cfRule>
  </conditionalFormatting>
  <conditionalFormatting sqref="H64">
    <cfRule type="cellIs" dxfId="64" priority="210" operator="equal">
      <formula>"Media"</formula>
    </cfRule>
    <cfRule type="cellIs" dxfId="63" priority="209" operator="equal">
      <formula>"Alta"</formula>
    </cfRule>
    <cfRule type="cellIs" dxfId="62" priority="208" operator="equal">
      <formula>"Muy Alta"</formula>
    </cfRule>
    <cfRule type="cellIs" dxfId="61" priority="211" operator="equal">
      <formula>"Baja"</formula>
    </cfRule>
    <cfRule type="cellIs" dxfId="60" priority="212" operator="equal">
      <formula>"Muy Baja"</formula>
    </cfRule>
  </conditionalFormatting>
  <conditionalFormatting sqref="K10:K69">
    <cfRule type="containsText" dxfId="59" priority="231" operator="containsText" text="❌">
      <formula>NOT(ISERROR(SEARCH(("❌"),(K10))))</formula>
    </cfRule>
  </conditionalFormatting>
  <conditionalFormatting sqref="L10 L16 L22 L28 L34 L40 L46 L52 L58 L64">
    <cfRule type="cellIs" dxfId="58" priority="6" operator="equal">
      <formula>"Catastrófico"</formula>
    </cfRule>
    <cfRule type="cellIs" dxfId="57" priority="8" operator="equal">
      <formula>"Moderado"</formula>
    </cfRule>
    <cfRule type="cellIs" dxfId="56" priority="9" operator="equal">
      <formula>"Menor"</formula>
    </cfRule>
    <cfRule type="cellIs" dxfId="55" priority="10" operator="equal">
      <formula>"Leve"</formula>
    </cfRule>
    <cfRule type="cellIs" dxfId="54" priority="7" operator="equal">
      <formula>"Mayor"</formula>
    </cfRule>
  </conditionalFormatting>
  <conditionalFormatting sqref="N10">
    <cfRule type="cellIs" dxfId="53" priority="13" operator="equal">
      <formula>"Moderado"</formula>
    </cfRule>
    <cfRule type="cellIs" dxfId="52" priority="14" operator="equal">
      <formula>"Bajo"</formula>
    </cfRule>
    <cfRule type="cellIs" dxfId="51" priority="11" operator="equal">
      <formula>"Extremo"</formula>
    </cfRule>
    <cfRule type="cellIs" dxfId="50" priority="12" operator="equal">
      <formula>"Alto"</formula>
    </cfRule>
  </conditionalFormatting>
  <conditionalFormatting sqref="N16">
    <cfRule type="cellIs" dxfId="49" priority="35" operator="equal">
      <formula>"Alto"</formula>
    </cfRule>
    <cfRule type="cellIs" dxfId="48" priority="37" operator="equal">
      <formula>"Bajo"</formula>
    </cfRule>
    <cfRule type="cellIs" dxfId="47" priority="36" operator="equal">
      <formula>"Moderado"</formula>
    </cfRule>
    <cfRule type="cellIs" dxfId="46" priority="34" operator="equal">
      <formula>"Extremo"</formula>
    </cfRule>
  </conditionalFormatting>
  <conditionalFormatting sqref="N22">
    <cfRule type="cellIs" dxfId="45" priority="60" operator="equal">
      <formula>"Bajo"</formula>
    </cfRule>
    <cfRule type="cellIs" dxfId="44" priority="59" operator="equal">
      <formula>"Moderado"</formula>
    </cfRule>
    <cfRule type="cellIs" dxfId="43" priority="58" operator="equal">
      <formula>"Alto"</formula>
    </cfRule>
    <cfRule type="cellIs" dxfId="42" priority="57" operator="equal">
      <formula>"Extremo"</formula>
    </cfRule>
  </conditionalFormatting>
  <conditionalFormatting sqref="N28">
    <cfRule type="cellIs" dxfId="41" priority="80" operator="equal">
      <formula>"Extremo"</formula>
    </cfRule>
    <cfRule type="cellIs" dxfId="40" priority="81" operator="equal">
      <formula>"Alto"</formula>
    </cfRule>
    <cfRule type="cellIs" dxfId="39" priority="82" operator="equal">
      <formula>"Moderado"</formula>
    </cfRule>
    <cfRule type="cellIs" dxfId="38" priority="83" operator="equal">
      <formula>"Bajo"</formula>
    </cfRule>
  </conditionalFormatting>
  <conditionalFormatting sqref="N34">
    <cfRule type="cellIs" dxfId="37" priority="103" operator="equal">
      <formula>"Extremo"</formula>
    </cfRule>
    <cfRule type="cellIs" dxfId="36" priority="105" operator="equal">
      <formula>"Moderado"</formula>
    </cfRule>
    <cfRule type="cellIs" dxfId="35" priority="106" operator="equal">
      <formula>"Bajo"</formula>
    </cfRule>
    <cfRule type="cellIs" dxfId="34" priority="104" operator="equal">
      <formula>"Alto"</formula>
    </cfRule>
  </conditionalFormatting>
  <conditionalFormatting sqref="N40">
    <cfRule type="cellIs" dxfId="33" priority="126" operator="equal">
      <formula>"Extremo"</formula>
    </cfRule>
    <cfRule type="cellIs" dxfId="32" priority="127" operator="equal">
      <formula>"Alto"</formula>
    </cfRule>
    <cfRule type="cellIs" dxfId="31" priority="128" operator="equal">
      <formula>"Moderado"</formula>
    </cfRule>
    <cfRule type="cellIs" dxfId="30" priority="129" operator="equal">
      <formula>"Bajo"</formula>
    </cfRule>
  </conditionalFormatting>
  <conditionalFormatting sqref="N46">
    <cfRule type="cellIs" dxfId="29" priority="151" operator="equal">
      <formula>"Moderado"</formula>
    </cfRule>
    <cfRule type="cellIs" dxfId="28" priority="152" operator="equal">
      <formula>"Bajo"</formula>
    </cfRule>
    <cfRule type="cellIs" dxfId="27" priority="150" operator="equal">
      <formula>"Alto"</formula>
    </cfRule>
    <cfRule type="cellIs" dxfId="26" priority="149" operator="equal">
      <formula>"Extremo"</formula>
    </cfRule>
  </conditionalFormatting>
  <conditionalFormatting sqref="N52">
    <cfRule type="cellIs" dxfId="25" priority="175" operator="equal">
      <formula>"Bajo"</formula>
    </cfRule>
    <cfRule type="cellIs" dxfId="24" priority="174" operator="equal">
      <formula>"Moderado"</formula>
    </cfRule>
    <cfRule type="cellIs" dxfId="23" priority="173" operator="equal">
      <formula>"Alto"</formula>
    </cfRule>
    <cfRule type="cellIs" dxfId="22" priority="172" operator="equal">
      <formula>"Extremo"</formula>
    </cfRule>
  </conditionalFormatting>
  <conditionalFormatting sqref="N58">
    <cfRule type="cellIs" dxfId="21" priority="192" operator="equal">
      <formula>"Moderado"</formula>
    </cfRule>
    <cfRule type="cellIs" dxfId="20" priority="193" operator="equal">
      <formula>"Bajo"</formula>
    </cfRule>
    <cfRule type="cellIs" dxfId="19" priority="191" operator="equal">
      <formula>"Alto"</formula>
    </cfRule>
    <cfRule type="cellIs" dxfId="18" priority="190" operator="equal">
      <formula>"Extremo"</formula>
    </cfRule>
  </conditionalFormatting>
  <conditionalFormatting sqref="N64">
    <cfRule type="cellIs" dxfId="17" priority="213" operator="equal">
      <formula>"Extremo"</formula>
    </cfRule>
    <cfRule type="cellIs" dxfId="16" priority="214" operator="equal">
      <formula>"Alto"</formula>
    </cfRule>
    <cfRule type="cellIs" dxfId="15" priority="215" operator="equal">
      <formula>"Moderado"</formula>
    </cfRule>
    <cfRule type="cellIs" dxfId="14" priority="216" operator="equal">
      <formula>"Bajo"</formula>
    </cfRule>
  </conditionalFormatting>
  <conditionalFormatting sqref="Y10:Y69">
    <cfRule type="cellIs" dxfId="13" priority="17" operator="equal">
      <formula>"Media"</formula>
    </cfRule>
    <cfRule type="cellIs" dxfId="12" priority="16" operator="equal">
      <formula>"Alta"</formula>
    </cfRule>
    <cfRule type="cellIs" dxfId="11" priority="15" operator="equal">
      <formula>"Muy Alta"</formula>
    </cfRule>
    <cfRule type="cellIs" dxfId="10" priority="18" operator="equal">
      <formula>"Baja"</formula>
    </cfRule>
    <cfRule type="cellIs" dxfId="9" priority="19" operator="equal">
      <formula>"Muy Baja"</formula>
    </cfRule>
  </conditionalFormatting>
  <conditionalFormatting sqref="AA10:AA69">
    <cfRule type="cellIs" dxfId="8" priority="24" operator="equal">
      <formula>"Leve"</formula>
    </cfRule>
    <cfRule type="cellIs" dxfId="7" priority="23" operator="equal">
      <formula>"Menor"</formula>
    </cfRule>
    <cfRule type="cellIs" dxfId="6" priority="22" operator="equal">
      <formula>"Moderado"</formula>
    </cfRule>
    <cfRule type="cellIs" dxfId="5" priority="21" operator="equal">
      <formula>"Mayor"</formula>
    </cfRule>
    <cfRule type="cellIs" dxfId="4" priority="20" operator="equal">
      <formula>"Catastrófico"</formula>
    </cfRule>
  </conditionalFormatting>
  <conditionalFormatting sqref="AC10:AC69">
    <cfRule type="cellIs" dxfId="3" priority="25" operator="equal">
      <formula>"Extremo"</formula>
    </cfRule>
    <cfRule type="cellIs" dxfId="2" priority="26" operator="equal">
      <formula>"Alto"</formula>
    </cfRule>
    <cfRule type="cellIs" dxfId="1" priority="28" operator="equal">
      <formula>"Bajo"</formula>
    </cfRule>
    <cfRule type="cellIs" dxfId="0" priority="27" operator="equal">
      <formula>"Moderado"</formula>
    </cfRule>
  </conditionalFormatting>
  <pageMargins left="0.7" right="0.7" top="0.75" bottom="0.75" header="0" footer="0"/>
  <pageSetup orientation="portrait" r:id="rId1"/>
  <extLst>
    <ext xmlns:x14="http://schemas.microsoft.com/office/spreadsheetml/2009/9/main" uri="{CCE6A557-97BC-4b89-ADB6-D9C93CAAB3DF}">
      <x14:dataValidations xmlns:xm="http://schemas.microsoft.com/office/excel/2006/main" count="15">
        <x14:dataValidation type="custom" allowBlank="1" showInputMessage="1" showErrorMessage="1" prompt="Recuerde que las acciones se generan bajo la medida de mitigar el riesgo" xr:uid="{00000000-0002-0000-0F00-000000000000}">
          <x14:formula1>
            <xm:f>IF(OR(AD10='Base de datos gestión'!$B$2,AD10='Base de datos gestión'!$B$3,AD10='Base de datos gestión'!$B$4),ISBLANK(AD10),ISTEXT(AD10))</xm:f>
          </x14:formula1>
          <xm:sqref>AI10:AI69</xm:sqref>
        </x14:dataValidation>
        <x14:dataValidation type="list" allowBlank="1" showErrorMessage="1" xr:uid="{00000000-0002-0000-0F00-000001000000}">
          <x14:formula1>
            <xm:f>'Tabla Valoración controles'!$D$5:$D$7</xm:f>
          </x14:formula1>
          <xm:sqref>R10:R69</xm:sqref>
        </x14:dataValidation>
        <x14:dataValidation type="list" allowBlank="1" showErrorMessage="1" xr:uid="{00000000-0002-0000-0F00-000002000000}">
          <x14:formula1>
            <xm:f>'Base de datos gestión'!$B$13:$B$19</xm:f>
          </x14:formula1>
          <xm:sqref>F10 F16 F22 F28 F34 F40 F46 F52 F58 F64</xm:sqref>
        </x14:dataValidation>
        <x14:dataValidation type="list" allowBlank="1" showErrorMessage="1" xr:uid="{00000000-0002-0000-0F00-000003000000}">
          <x14:formula1>
            <xm:f>'Tabla Valoración controles'!$D$12:$D$13</xm:f>
          </x14:formula1>
          <xm:sqref>V10:V69</xm:sqref>
        </x14:dataValidation>
        <x14:dataValidation type="list" allowBlank="1" showErrorMessage="1" xr:uid="{00000000-0002-0000-0F00-000004000000}">
          <x14:formula1>
            <xm:f>'Base de datos gestión'!$B$9:$B$10</xm:f>
          </x14:formula1>
          <xm:sqref>AJ10:AJ11 AJ13:AJ14 AJ16:AJ17 AJ19:AJ20 AJ22:AJ23 AJ25:AJ26 AJ28:AJ29 AJ31:AJ32 AJ34:AJ35 AJ37:AJ38 AJ40:AJ41 AJ43:AJ44 AJ46:AJ47 AJ49:AJ50 AJ52:AJ53 AJ55:AJ56 AJ58:AJ59 AJ61:AJ62 AJ64:AJ65 AJ67:AJ68</xm:sqref>
        </x14:dataValidation>
        <x14:dataValidation type="list" allowBlank="1" showErrorMessage="1" xr:uid="{00000000-0002-0000-0F00-000005000000}">
          <x14:formula1>
            <xm:f>'Base de datos gestión'!$B$2:$B$5</xm:f>
          </x14:formula1>
          <xm:sqref>AD10:AD69</xm:sqref>
        </x14:dataValidation>
        <x14:dataValidation type="list" allowBlank="1" showErrorMessage="1" xr:uid="{00000000-0002-0000-0F00-000006000000}">
          <x14:formula1>
            <xm:f>'Tabla Valoración controles'!$D$10:$D$11</xm:f>
          </x14:formula1>
          <xm:sqref>U10:U69</xm:sqref>
        </x14:dataValidation>
        <x14:dataValidation type="list" allowBlank="1" showErrorMessage="1" xr:uid="{00000000-0002-0000-0F00-000007000000}">
          <x14:formula1>
            <xm:f>'Tabla Valoración controles'!$D$8:$D$9</xm:f>
          </x14:formula1>
          <xm:sqref>S10:S69</xm:sqref>
        </x14:dataValidation>
        <x14:dataValidation type="custom" allowBlank="1" showInputMessage="1" showErrorMessage="1" prompt="Recuerde que las acciones se generan bajo la medida de mitigar el riesgo" xr:uid="{00000000-0002-0000-0F00-000008000000}">
          <x14:formula1>
            <xm:f>IF(OR(AD10='Base de datos gestión'!$B$2,AD10='Base de datos gestión'!$B$3,AD10='Base de datos gestión'!$B$4),ISBLANK(AD10),ISTEXT(AD10))</xm:f>
          </x14:formula1>
          <xm:sqref>AF10:AF69</xm:sqref>
        </x14:dataValidation>
        <x14:dataValidation type="list" allowBlank="1" showErrorMessage="1" xr:uid="{00000000-0002-0000-0F00-000009000000}">
          <x14:formula1>
            <xm:f>'Base de datos gestión'!$G$2:$G$4</xm:f>
          </x14:formula1>
          <xm:sqref>B10 B16 B22 B28 B34 B40 B46 B52 B58 B64</xm:sqref>
        </x14:dataValidation>
        <x14:dataValidation type="custom" allowBlank="1" showInputMessage="1" showErrorMessage="1" prompt="Recuerde que las acciones se generan bajo la medida de mitigar el riesgo" xr:uid="{00000000-0002-0000-0F00-00000A000000}">
          <x14:formula1>
            <xm:f>IF(OR(AD10='Base de datos gestión'!$B$2,AD10='Base de datos gestión'!$B$3,AD10='Base de datos gestión'!$B$4),ISBLANK(AD10),ISTEXT(AD10))</xm:f>
          </x14:formula1>
          <xm:sqref>AH10:AH69</xm:sqref>
        </x14:dataValidation>
        <x14:dataValidation type="list" allowBlank="1" showErrorMessage="1" xr:uid="{00000000-0002-0000-0F00-00000B000000}">
          <x14:formula1>
            <xm:f>'Tabla Impacto'!$F$211:$F$222</xm:f>
          </x14:formula1>
          <xm:sqref>J10 J64 J58 J52 J46 J40 J34 J28 J22 J16</xm:sqref>
        </x14:dataValidation>
        <x14:dataValidation type="list" allowBlank="1" showErrorMessage="1" xr:uid="{00000000-0002-0000-0F00-00000C000000}">
          <x14:formula1>
            <xm:f>'Tabla Valoración controles'!$D$14:$D$15</xm:f>
          </x14:formula1>
          <xm:sqref>W10:W69</xm:sqref>
        </x14:dataValidation>
        <x14:dataValidation type="custom" allowBlank="1" showInputMessage="1" showErrorMessage="1" prompt="Recuerde que las acciones se generan bajo la medida de mitigar el riesgo" xr:uid="{00000000-0002-0000-0F00-00000D000000}">
          <x14:formula1>
            <xm:f>IF(OR(AD10='Base de datos gestión'!$B$2,AD10='Base de datos gestión'!$B$3,AD10='Base de datos gestión'!$B$4),ISBLANK(AD10),ISTEXT(AD10))</xm:f>
          </x14:formula1>
          <xm:sqref>AG10:AG69</xm:sqref>
        </x14:dataValidation>
        <x14:dataValidation type="custom" allowBlank="1" showInputMessage="1" showErrorMessage="1" prompt="Recuerde que las acciones se generan bajo la medida de mitigar el riesgo" xr:uid="{00000000-0002-0000-0F00-00000E000000}">
          <x14:formula1>
            <xm:f>IF(OR(AD10='Base de datos gestión'!$B$2,AD10='Base de datos gestión'!$B$3,AD10='Base de datos gestión'!$B$4),ISBLANK(AD10),ISTEXT(AD10))</xm:f>
          </x14:formula1>
          <xm:sqref>AE10:AE69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sheetViews>
  <sheetFormatPr baseColWidth="10" defaultColWidth="12.625" defaultRowHeight="15" customHeight="1" x14ac:dyDescent="0.2"/>
  <cols>
    <col min="1" max="1" width="28.625" style="66" customWidth="1"/>
    <col min="2" max="6" width="10" style="66" customWidth="1"/>
    <col min="7" max="26" width="9.375" style="66" customWidth="1"/>
  </cols>
  <sheetData>
    <row r="1" spans="1:1" ht="12.75" customHeight="1" x14ac:dyDescent="0.2"/>
    <row r="2" spans="1:1" ht="12.75" customHeight="1" x14ac:dyDescent="0.2"/>
    <row r="3" spans="1:1" ht="12.75" customHeight="1" x14ac:dyDescent="0.2">
      <c r="A3" s="67" t="s">
        <v>187</v>
      </c>
    </row>
    <row r="4" spans="1:1" ht="12.75" customHeight="1" x14ac:dyDescent="0.2">
      <c r="A4" s="67" t="s">
        <v>228</v>
      </c>
    </row>
    <row r="5" spans="1:1" ht="12.75" customHeight="1" x14ac:dyDescent="0.2">
      <c r="A5" s="67" t="s">
        <v>209</v>
      </c>
    </row>
    <row r="6" spans="1:1" ht="12.75" customHeight="1" x14ac:dyDescent="0.2">
      <c r="A6" s="67" t="s">
        <v>341</v>
      </c>
    </row>
    <row r="7" spans="1:1" ht="12.75" customHeight="1" x14ac:dyDescent="0.2">
      <c r="A7" s="67" t="s">
        <v>188</v>
      </c>
    </row>
    <row r="8" spans="1:1" ht="12.75" customHeight="1" x14ac:dyDescent="0.2">
      <c r="A8" s="67" t="s">
        <v>222</v>
      </c>
    </row>
    <row r="9" spans="1:1" ht="12.75" customHeight="1" x14ac:dyDescent="0.2">
      <c r="A9" s="67" t="s">
        <v>189</v>
      </c>
    </row>
    <row r="10" spans="1:1" ht="12.75" customHeight="1" x14ac:dyDescent="0.2">
      <c r="A10" s="67" t="s">
        <v>190</v>
      </c>
    </row>
    <row r="11" spans="1:1" ht="12.75" customHeight="1" x14ac:dyDescent="0.2">
      <c r="A11" s="67" t="s">
        <v>202</v>
      </c>
    </row>
    <row r="12" spans="1:1" ht="12.75" customHeight="1" x14ac:dyDescent="0.2">
      <c r="A12" s="67" t="s">
        <v>2247</v>
      </c>
    </row>
    <row r="13" spans="1:1" ht="12.75" customHeight="1" x14ac:dyDescent="0.2">
      <c r="A13" s="67" t="s">
        <v>2248</v>
      </c>
    </row>
    <row r="14" spans="1:1" ht="12.75" customHeight="1" x14ac:dyDescent="0.2">
      <c r="A14" s="67" t="s">
        <v>2249</v>
      </c>
    </row>
    <row r="15" spans="1:1" ht="12.75" customHeight="1" x14ac:dyDescent="0.2"/>
    <row r="16" spans="1:1" ht="12.75" customHeight="1" x14ac:dyDescent="0.2">
      <c r="A16" s="67" t="s">
        <v>1490</v>
      </c>
    </row>
    <row r="17" spans="1:1" ht="12.75" customHeight="1" x14ac:dyDescent="0.2">
      <c r="A17" s="67" t="s">
        <v>296</v>
      </c>
    </row>
    <row r="18" spans="1:1" ht="12.75" customHeight="1" x14ac:dyDescent="0.2">
      <c r="A18" s="67" t="s">
        <v>975</v>
      </c>
    </row>
    <row r="19" spans="1:1" ht="12.75" customHeight="1" x14ac:dyDescent="0.2"/>
    <row r="20" spans="1:1" ht="12.75" customHeight="1" x14ac:dyDescent="0.2">
      <c r="A20" s="67" t="s">
        <v>2098</v>
      </c>
    </row>
    <row r="21" spans="1:1" ht="12.75" customHeight="1" x14ac:dyDescent="0.2">
      <c r="A21" s="67" t="s">
        <v>2100</v>
      </c>
    </row>
    <row r="22" spans="1:1" ht="12.75" customHeight="1" x14ac:dyDescent="0.2"/>
    <row r="23" spans="1:1" ht="12.75" customHeight="1" x14ac:dyDescent="0.2"/>
    <row r="24" spans="1:1" ht="12.75" customHeight="1" x14ac:dyDescent="0.2"/>
    <row r="25" spans="1:1" ht="12.75" customHeight="1" x14ac:dyDescent="0.2"/>
    <row r="26" spans="1:1" ht="12.75" customHeight="1" x14ac:dyDescent="0.2"/>
    <row r="27" spans="1:1" ht="12.75" customHeight="1" x14ac:dyDescent="0.2"/>
    <row r="28" spans="1:1" ht="12.75" customHeight="1" x14ac:dyDescent="0.2"/>
    <row r="29" spans="1:1" ht="12.75" customHeight="1" x14ac:dyDescent="0.2"/>
    <row r="30" spans="1:1" ht="12.75" customHeight="1" x14ac:dyDescent="0.2"/>
    <row r="31" spans="1:1" ht="12.75" customHeight="1" x14ac:dyDescent="0.2"/>
    <row r="32" spans="1:1"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ACEDF-374E-49A1-8DFA-D4F1C915472A}">
  <sheetPr>
    <tabColor rgb="FF002060"/>
  </sheetPr>
  <dimension ref="A1:BI1000"/>
  <sheetViews>
    <sheetView view="pageBreakPreview" zoomScale="40" zoomScaleNormal="40" zoomScaleSheetLayoutView="40" workbookViewId="0">
      <selection activeCell="AK70" sqref="AK70"/>
    </sheetView>
  </sheetViews>
  <sheetFormatPr baseColWidth="10" defaultColWidth="12.625" defaultRowHeight="15" customHeight="1" x14ac:dyDescent="0.2"/>
  <cols>
    <col min="1" max="1" width="9.375" style="230" customWidth="1"/>
    <col min="2" max="39" width="5" style="230" customWidth="1"/>
    <col min="40" max="40" width="9.375" style="230" customWidth="1"/>
    <col min="41" max="46" width="5" style="230" customWidth="1"/>
    <col min="47" max="61" width="9.375" style="230" customWidth="1"/>
    <col min="62" max="16384" width="12.625" style="230"/>
  </cols>
  <sheetData>
    <row r="1" spans="1:61" x14ac:dyDescent="0.25">
      <c r="A1" s="332"/>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row>
    <row r="2" spans="1:61" ht="18" customHeight="1" x14ac:dyDescent="0.25">
      <c r="A2" s="332"/>
      <c r="B2" s="735" t="s">
        <v>0</v>
      </c>
      <c r="C2" s="702"/>
      <c r="D2" s="702"/>
      <c r="E2" s="702"/>
      <c r="F2" s="702"/>
      <c r="G2" s="702"/>
      <c r="H2" s="702"/>
      <c r="I2" s="702"/>
      <c r="J2" s="736" t="s">
        <v>1</v>
      </c>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332"/>
      <c r="AO2" s="332"/>
      <c r="AP2" s="332"/>
      <c r="AQ2" s="332"/>
      <c r="AR2" s="332"/>
      <c r="AS2" s="332"/>
      <c r="AT2" s="332"/>
      <c r="AU2" s="332"/>
      <c r="AV2" s="332"/>
      <c r="AW2" s="332"/>
      <c r="AX2" s="332"/>
      <c r="AY2" s="332"/>
      <c r="AZ2" s="332"/>
      <c r="BA2" s="332"/>
      <c r="BB2" s="332"/>
      <c r="BC2" s="332"/>
      <c r="BD2" s="332"/>
      <c r="BE2" s="332"/>
      <c r="BF2" s="332"/>
      <c r="BG2" s="332"/>
      <c r="BH2" s="332"/>
      <c r="BI2" s="332"/>
    </row>
    <row r="3" spans="1:61" ht="18.75" customHeight="1" x14ac:dyDescent="0.25">
      <c r="A3" s="332"/>
      <c r="B3" s="702"/>
      <c r="C3" s="702"/>
      <c r="D3" s="702"/>
      <c r="E3" s="702"/>
      <c r="F3" s="702"/>
      <c r="G3" s="702"/>
      <c r="H3" s="702"/>
      <c r="I3" s="702"/>
      <c r="J3" s="708"/>
      <c r="K3" s="702"/>
      <c r="L3" s="702"/>
      <c r="M3" s="702"/>
      <c r="N3" s="702"/>
      <c r="O3" s="702"/>
      <c r="P3" s="702"/>
      <c r="Q3" s="702"/>
      <c r="R3" s="702"/>
      <c r="S3" s="702"/>
      <c r="T3" s="702"/>
      <c r="U3" s="702"/>
      <c r="V3" s="702"/>
      <c r="W3" s="702"/>
      <c r="X3" s="702"/>
      <c r="Y3" s="702"/>
      <c r="Z3" s="702"/>
      <c r="AA3" s="702"/>
      <c r="AB3" s="702"/>
      <c r="AC3" s="702"/>
      <c r="AD3" s="702"/>
      <c r="AE3" s="702"/>
      <c r="AF3" s="702"/>
      <c r="AG3" s="702"/>
      <c r="AH3" s="702"/>
      <c r="AI3" s="702"/>
      <c r="AJ3" s="702"/>
      <c r="AK3" s="702"/>
      <c r="AL3" s="702"/>
      <c r="AM3" s="708"/>
      <c r="AN3" s="332"/>
      <c r="AO3" s="332"/>
      <c r="AP3" s="332"/>
      <c r="AQ3" s="332"/>
      <c r="AR3" s="332"/>
      <c r="AS3" s="332"/>
      <c r="AT3" s="332"/>
      <c r="AU3" s="332"/>
      <c r="AV3" s="332"/>
      <c r="AW3" s="332"/>
      <c r="AX3" s="332"/>
      <c r="AY3" s="332"/>
      <c r="AZ3" s="332"/>
      <c r="BA3" s="332"/>
      <c r="BB3" s="332"/>
      <c r="BC3" s="332"/>
      <c r="BD3" s="332"/>
      <c r="BE3" s="332"/>
      <c r="BF3" s="332"/>
      <c r="BG3" s="332"/>
      <c r="BH3" s="332"/>
      <c r="BI3" s="332"/>
    </row>
    <row r="4" spans="1:61" ht="15" customHeight="1" x14ac:dyDescent="0.25">
      <c r="A4" s="332"/>
      <c r="B4" s="702"/>
      <c r="C4" s="702"/>
      <c r="D4" s="702"/>
      <c r="E4" s="702"/>
      <c r="F4" s="702"/>
      <c r="G4" s="702"/>
      <c r="H4" s="702"/>
      <c r="I4" s="702"/>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332"/>
      <c r="AO4" s="332"/>
      <c r="AP4" s="332"/>
      <c r="AQ4" s="332"/>
      <c r="AR4" s="332"/>
      <c r="AS4" s="332"/>
      <c r="AT4" s="332"/>
      <c r="AU4" s="332"/>
      <c r="AV4" s="332"/>
      <c r="AW4" s="332"/>
      <c r="AX4" s="332"/>
      <c r="AY4" s="332"/>
      <c r="AZ4" s="332"/>
      <c r="BA4" s="332"/>
      <c r="BB4" s="332"/>
      <c r="BC4" s="332"/>
      <c r="BD4" s="332"/>
      <c r="BE4" s="332"/>
      <c r="BF4" s="332"/>
      <c r="BG4" s="332"/>
      <c r="BH4" s="332"/>
      <c r="BI4" s="332"/>
    </row>
    <row r="5" spans="1:61" ht="15.75" thickBot="1" x14ac:dyDescent="0.3">
      <c r="A5" s="332"/>
      <c r="B5" s="332"/>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row>
    <row r="6" spans="1:61" ht="15" customHeight="1" x14ac:dyDescent="0.25">
      <c r="A6" s="332"/>
      <c r="B6" s="737" t="s">
        <v>2</v>
      </c>
      <c r="C6" s="708"/>
      <c r="D6" s="703"/>
      <c r="E6" s="698" t="s">
        <v>3</v>
      </c>
      <c r="F6" s="699"/>
      <c r="G6" s="699"/>
      <c r="H6" s="699"/>
      <c r="I6" s="700"/>
      <c r="J6" s="719" t="str" cm="1">
        <f t="array" ref="J6">IF(AND('Matriz riesgos de gestión'!M4:M9="Muy Alta",'Matriz riesgos de gestión'!Q4:Q9="Leve"),CONCATENATE("R",'Matriz riesgos de gestión'!$A$4),"")</f>
        <v/>
      </c>
      <c r="K6" s="699"/>
      <c r="L6" s="720" t="s">
        <v>18</v>
      </c>
      <c r="M6" s="699"/>
      <c r="N6" s="720" t="s">
        <v>18</v>
      </c>
      <c r="O6" s="700"/>
      <c r="P6" s="719" t="s">
        <v>18</v>
      </c>
      <c r="Q6" s="699"/>
      <c r="R6" s="720" t="s">
        <v>18</v>
      </c>
      <c r="S6" s="699"/>
      <c r="T6" s="720" t="s">
        <v>18</v>
      </c>
      <c r="U6" s="700"/>
      <c r="V6" s="719" t="s">
        <v>18</v>
      </c>
      <c r="W6" s="699"/>
      <c r="X6" s="720" t="s">
        <v>18</v>
      </c>
      <c r="Y6" s="699"/>
      <c r="Z6" s="720" t="s">
        <v>18</v>
      </c>
      <c r="AA6" s="700"/>
      <c r="AB6" s="719" t="s">
        <v>18</v>
      </c>
      <c r="AC6" s="699"/>
      <c r="AD6" s="720" t="s">
        <v>18</v>
      </c>
      <c r="AE6" s="699"/>
      <c r="AF6" s="720" t="s">
        <v>18</v>
      </c>
      <c r="AG6" s="700"/>
      <c r="AH6" s="723" t="s">
        <v>18</v>
      </c>
      <c r="AI6" s="699"/>
      <c r="AJ6" s="716" t="s">
        <v>18</v>
      </c>
      <c r="AK6" s="699"/>
      <c r="AL6" s="716" t="s">
        <v>18</v>
      </c>
      <c r="AM6" s="700"/>
      <c r="AO6" s="734" t="s">
        <v>4</v>
      </c>
      <c r="AP6" s="725"/>
      <c r="AQ6" s="725"/>
      <c r="AR6" s="725"/>
      <c r="AS6" s="725"/>
      <c r="AT6" s="726"/>
      <c r="AU6" s="332"/>
      <c r="AV6" s="332"/>
      <c r="AW6" s="332"/>
      <c r="AX6" s="332"/>
      <c r="AY6" s="332"/>
      <c r="AZ6" s="332"/>
      <c r="BA6" s="332"/>
      <c r="BB6" s="332"/>
      <c r="BC6" s="332"/>
      <c r="BD6" s="332"/>
      <c r="BE6" s="332"/>
      <c r="BF6" s="332"/>
      <c r="BG6" s="332"/>
      <c r="BH6" s="332"/>
      <c r="BI6" s="332"/>
    </row>
    <row r="7" spans="1:61" ht="43.5" customHeight="1" x14ac:dyDescent="0.25">
      <c r="A7" s="332"/>
      <c r="B7" s="708"/>
      <c r="C7" s="702"/>
      <c r="D7" s="703"/>
      <c r="E7" s="701"/>
      <c r="F7" s="702"/>
      <c r="G7" s="702"/>
      <c r="H7" s="702"/>
      <c r="I7" s="703"/>
      <c r="J7" s="701"/>
      <c r="K7" s="708"/>
      <c r="L7" s="708"/>
      <c r="M7" s="708"/>
      <c r="N7" s="708"/>
      <c r="O7" s="703"/>
      <c r="P7" s="701"/>
      <c r="Q7" s="708"/>
      <c r="R7" s="708"/>
      <c r="S7" s="708"/>
      <c r="T7" s="708"/>
      <c r="U7" s="703"/>
      <c r="V7" s="701"/>
      <c r="W7" s="708"/>
      <c r="X7" s="708"/>
      <c r="Y7" s="708"/>
      <c r="Z7" s="708"/>
      <c r="AA7" s="703"/>
      <c r="AB7" s="701"/>
      <c r="AC7" s="708"/>
      <c r="AD7" s="708"/>
      <c r="AE7" s="708"/>
      <c r="AF7" s="708"/>
      <c r="AG7" s="703"/>
      <c r="AH7" s="701"/>
      <c r="AI7" s="708"/>
      <c r="AJ7" s="708"/>
      <c r="AK7" s="708"/>
      <c r="AL7" s="708"/>
      <c r="AM7" s="703"/>
      <c r="AN7" s="332"/>
      <c r="AO7" s="727"/>
      <c r="AP7" s="702"/>
      <c r="AQ7" s="702"/>
      <c r="AR7" s="702"/>
      <c r="AS7" s="702"/>
      <c r="AT7" s="728"/>
      <c r="AU7" s="332"/>
      <c r="AV7" s="332"/>
      <c r="AW7" s="332"/>
      <c r="AX7" s="332"/>
      <c r="AY7" s="332"/>
      <c r="AZ7" s="332"/>
      <c r="BA7" s="332"/>
      <c r="BB7" s="332"/>
      <c r="BC7" s="332"/>
      <c r="BD7" s="332"/>
      <c r="BE7" s="332"/>
      <c r="BF7" s="332"/>
      <c r="BG7" s="332"/>
      <c r="BH7" s="332"/>
      <c r="BI7" s="332"/>
    </row>
    <row r="8" spans="1:61" ht="15" customHeight="1" x14ac:dyDescent="0.25">
      <c r="A8" s="332"/>
      <c r="B8" s="708"/>
      <c r="C8" s="702"/>
      <c r="D8" s="703"/>
      <c r="E8" s="701"/>
      <c r="F8" s="702"/>
      <c r="G8" s="702"/>
      <c r="H8" s="702"/>
      <c r="I8" s="703"/>
      <c r="J8" s="707" t="s">
        <v>18</v>
      </c>
      <c r="K8" s="708"/>
      <c r="L8" s="709" t="s">
        <v>18</v>
      </c>
      <c r="M8" s="708"/>
      <c r="N8" s="709" t="s">
        <v>18</v>
      </c>
      <c r="O8" s="703"/>
      <c r="P8" s="707" t="s">
        <v>18</v>
      </c>
      <c r="Q8" s="708"/>
      <c r="R8" s="709" t="s">
        <v>18</v>
      </c>
      <c r="S8" s="708"/>
      <c r="T8" s="709" t="s">
        <v>18</v>
      </c>
      <c r="U8" s="703"/>
      <c r="V8" s="707" t="s">
        <v>18</v>
      </c>
      <c r="W8" s="708"/>
      <c r="X8" s="709" t="s">
        <v>18</v>
      </c>
      <c r="Y8" s="708"/>
      <c r="Z8" s="709" t="s">
        <v>18</v>
      </c>
      <c r="AA8" s="703"/>
      <c r="AB8" s="707" t="s">
        <v>18</v>
      </c>
      <c r="AC8" s="708"/>
      <c r="AD8" s="709" t="s">
        <v>18</v>
      </c>
      <c r="AE8" s="708"/>
      <c r="AF8" s="709" t="s">
        <v>18</v>
      </c>
      <c r="AG8" s="703"/>
      <c r="AH8" s="710" t="s">
        <v>18</v>
      </c>
      <c r="AI8" s="708"/>
      <c r="AJ8" s="711" t="s">
        <v>18</v>
      </c>
      <c r="AK8" s="708"/>
      <c r="AL8" s="711" t="s">
        <v>18</v>
      </c>
      <c r="AM8" s="703"/>
      <c r="AN8" s="332"/>
      <c r="AO8" s="727"/>
      <c r="AP8" s="702"/>
      <c r="AQ8" s="702"/>
      <c r="AR8" s="702"/>
      <c r="AS8" s="702"/>
      <c r="AT8" s="728"/>
      <c r="AU8" s="332"/>
      <c r="AV8" s="332"/>
      <c r="AW8" s="332"/>
      <c r="AX8" s="332"/>
      <c r="AY8" s="332"/>
      <c r="AZ8" s="332"/>
      <c r="BA8" s="332"/>
      <c r="BB8" s="332"/>
      <c r="BC8" s="332"/>
      <c r="BD8" s="332"/>
      <c r="BE8" s="332"/>
      <c r="BF8" s="332"/>
      <c r="BG8" s="332"/>
      <c r="BH8" s="332"/>
      <c r="BI8" s="332"/>
    </row>
    <row r="9" spans="1:61" ht="15" customHeight="1" x14ac:dyDescent="0.25">
      <c r="A9" s="332"/>
      <c r="B9" s="708"/>
      <c r="C9" s="702"/>
      <c r="D9" s="703"/>
      <c r="E9" s="701"/>
      <c r="F9" s="702"/>
      <c r="G9" s="702"/>
      <c r="H9" s="702"/>
      <c r="I9" s="703"/>
      <c r="J9" s="701"/>
      <c r="K9" s="708"/>
      <c r="L9" s="708"/>
      <c r="M9" s="708"/>
      <c r="N9" s="708"/>
      <c r="O9" s="703"/>
      <c r="P9" s="701"/>
      <c r="Q9" s="708"/>
      <c r="R9" s="708"/>
      <c r="S9" s="708"/>
      <c r="T9" s="708"/>
      <c r="U9" s="703"/>
      <c r="V9" s="701"/>
      <c r="W9" s="708"/>
      <c r="X9" s="708"/>
      <c r="Y9" s="708"/>
      <c r="Z9" s="708"/>
      <c r="AA9" s="703"/>
      <c r="AB9" s="701"/>
      <c r="AC9" s="708"/>
      <c r="AD9" s="708"/>
      <c r="AE9" s="708"/>
      <c r="AF9" s="708"/>
      <c r="AG9" s="703"/>
      <c r="AH9" s="701"/>
      <c r="AI9" s="708"/>
      <c r="AJ9" s="708"/>
      <c r="AK9" s="708"/>
      <c r="AL9" s="708"/>
      <c r="AM9" s="703"/>
      <c r="AN9" s="332"/>
      <c r="AO9" s="727"/>
      <c r="AP9" s="702"/>
      <c r="AQ9" s="702"/>
      <c r="AR9" s="702"/>
      <c r="AS9" s="702"/>
      <c r="AT9" s="728"/>
      <c r="AU9" s="332"/>
      <c r="AV9" s="332"/>
      <c r="AW9" s="332"/>
      <c r="AX9" s="332"/>
      <c r="AY9" s="332"/>
      <c r="AZ9" s="332"/>
      <c r="BA9" s="332"/>
      <c r="BB9" s="332"/>
      <c r="BC9" s="332"/>
      <c r="BD9" s="332"/>
      <c r="BE9" s="332"/>
      <c r="BF9" s="332"/>
      <c r="BG9" s="332"/>
      <c r="BH9" s="332"/>
      <c r="BI9" s="332"/>
    </row>
    <row r="10" spans="1:61" ht="15" customHeight="1" x14ac:dyDescent="0.25">
      <c r="A10" s="332"/>
      <c r="B10" s="708"/>
      <c r="C10" s="702"/>
      <c r="D10" s="703"/>
      <c r="E10" s="701"/>
      <c r="F10" s="702"/>
      <c r="G10" s="702"/>
      <c r="H10" s="702"/>
      <c r="I10" s="703"/>
      <c r="J10" s="707" t="s">
        <v>18</v>
      </c>
      <c r="K10" s="708"/>
      <c r="L10" s="709" t="s">
        <v>18</v>
      </c>
      <c r="M10" s="708"/>
      <c r="N10" s="709" t="s">
        <v>18</v>
      </c>
      <c r="O10" s="703"/>
      <c r="P10" s="707" t="s">
        <v>18</v>
      </c>
      <c r="Q10" s="708"/>
      <c r="R10" s="709" t="s">
        <v>18</v>
      </c>
      <c r="S10" s="708"/>
      <c r="T10" s="709" t="s">
        <v>18</v>
      </c>
      <c r="U10" s="703"/>
      <c r="V10" s="707" t="s">
        <v>18</v>
      </c>
      <c r="W10" s="708"/>
      <c r="X10" s="709" t="s">
        <v>18</v>
      </c>
      <c r="Y10" s="708"/>
      <c r="Z10" s="709" t="s">
        <v>18</v>
      </c>
      <c r="AA10" s="703"/>
      <c r="AB10" s="707" t="s">
        <v>18</v>
      </c>
      <c r="AC10" s="708"/>
      <c r="AD10" s="709" t="s">
        <v>18</v>
      </c>
      <c r="AE10" s="708"/>
      <c r="AF10" s="709" t="s">
        <v>18</v>
      </c>
      <c r="AG10" s="703"/>
      <c r="AH10" s="710" t="s">
        <v>18</v>
      </c>
      <c r="AI10" s="708"/>
      <c r="AJ10" s="711" t="s">
        <v>18</v>
      </c>
      <c r="AK10" s="708"/>
      <c r="AL10" s="711" t="s">
        <v>18</v>
      </c>
      <c r="AM10" s="703"/>
      <c r="AN10" s="332"/>
      <c r="AO10" s="727"/>
      <c r="AP10" s="702"/>
      <c r="AQ10" s="702"/>
      <c r="AR10" s="702"/>
      <c r="AS10" s="702"/>
      <c r="AT10" s="728"/>
      <c r="AU10" s="332"/>
      <c r="AV10" s="332"/>
      <c r="AW10" s="332"/>
      <c r="AX10" s="332"/>
      <c r="AY10" s="332"/>
      <c r="AZ10" s="332"/>
      <c r="BA10" s="332"/>
      <c r="BB10" s="332"/>
      <c r="BC10" s="332"/>
      <c r="BD10" s="332"/>
      <c r="BE10" s="332"/>
      <c r="BF10" s="332"/>
      <c r="BG10" s="332"/>
      <c r="BH10" s="332"/>
      <c r="BI10" s="332"/>
    </row>
    <row r="11" spans="1:61" ht="15" customHeight="1" x14ac:dyDescent="0.25">
      <c r="A11" s="332"/>
      <c r="B11" s="708"/>
      <c r="C11" s="702"/>
      <c r="D11" s="703"/>
      <c r="E11" s="701"/>
      <c r="F11" s="702"/>
      <c r="G11" s="702"/>
      <c r="H11" s="702"/>
      <c r="I11" s="703"/>
      <c r="J11" s="701"/>
      <c r="K11" s="708"/>
      <c r="L11" s="708"/>
      <c r="M11" s="708"/>
      <c r="N11" s="708"/>
      <c r="O11" s="703"/>
      <c r="P11" s="701"/>
      <c r="Q11" s="708"/>
      <c r="R11" s="708"/>
      <c r="S11" s="708"/>
      <c r="T11" s="708"/>
      <c r="U11" s="703"/>
      <c r="V11" s="701"/>
      <c r="W11" s="708"/>
      <c r="X11" s="708"/>
      <c r="Y11" s="708"/>
      <c r="Z11" s="708"/>
      <c r="AA11" s="703"/>
      <c r="AB11" s="701"/>
      <c r="AC11" s="708"/>
      <c r="AD11" s="708"/>
      <c r="AE11" s="708"/>
      <c r="AF11" s="708"/>
      <c r="AG11" s="703"/>
      <c r="AH11" s="701"/>
      <c r="AI11" s="708"/>
      <c r="AJ11" s="708"/>
      <c r="AK11" s="708"/>
      <c r="AL11" s="708"/>
      <c r="AM11" s="703"/>
      <c r="AN11" s="332"/>
      <c r="AO11" s="727"/>
      <c r="AP11" s="702"/>
      <c r="AQ11" s="702"/>
      <c r="AR11" s="702"/>
      <c r="AS11" s="702"/>
      <c r="AT11" s="728"/>
      <c r="AU11" s="332"/>
      <c r="AV11" s="332"/>
      <c r="AW11" s="332"/>
      <c r="AX11" s="332"/>
      <c r="AY11" s="332"/>
      <c r="AZ11" s="332"/>
      <c r="BA11" s="332"/>
      <c r="BB11" s="332"/>
      <c r="BC11" s="332"/>
      <c r="BD11" s="332"/>
      <c r="BE11" s="332"/>
      <c r="BF11" s="332"/>
      <c r="BG11" s="332"/>
      <c r="BH11" s="332"/>
      <c r="BI11" s="332"/>
    </row>
    <row r="12" spans="1:61" ht="15" customHeight="1" x14ac:dyDescent="0.25">
      <c r="A12" s="332"/>
      <c r="B12" s="708"/>
      <c r="C12" s="702"/>
      <c r="D12" s="703"/>
      <c r="E12" s="701"/>
      <c r="F12" s="702"/>
      <c r="G12" s="702"/>
      <c r="H12" s="702"/>
      <c r="I12" s="703"/>
      <c r="J12" s="707" t="s">
        <v>18</v>
      </c>
      <c r="K12" s="708"/>
      <c r="L12" s="709" t="s">
        <v>18</v>
      </c>
      <c r="M12" s="708"/>
      <c r="N12" s="709" t="s">
        <v>18</v>
      </c>
      <c r="O12" s="703"/>
      <c r="P12" s="707" t="s">
        <v>18</v>
      </c>
      <c r="Q12" s="708"/>
      <c r="R12" s="709" t="s">
        <v>18</v>
      </c>
      <c r="S12" s="708"/>
      <c r="T12" s="709" t="s">
        <v>18</v>
      </c>
      <c r="U12" s="703"/>
      <c r="V12" s="707" t="s">
        <v>18</v>
      </c>
      <c r="W12" s="708"/>
      <c r="X12" s="709" t="s">
        <v>18</v>
      </c>
      <c r="Y12" s="708"/>
      <c r="Z12" s="709" t="s">
        <v>18</v>
      </c>
      <c r="AA12" s="703"/>
      <c r="AB12" s="707" t="s">
        <v>18</v>
      </c>
      <c r="AC12" s="708"/>
      <c r="AD12" s="709" t="s">
        <v>18</v>
      </c>
      <c r="AE12" s="708"/>
      <c r="AF12" s="709" t="s">
        <v>18</v>
      </c>
      <c r="AG12" s="703"/>
      <c r="AH12" s="710" t="s">
        <v>18</v>
      </c>
      <c r="AI12" s="708"/>
      <c r="AJ12" s="711" t="s">
        <v>18</v>
      </c>
      <c r="AK12" s="708"/>
      <c r="AL12" s="711" t="s">
        <v>18</v>
      </c>
      <c r="AM12" s="703"/>
      <c r="AN12" s="332"/>
      <c r="AO12" s="727"/>
      <c r="AP12" s="702"/>
      <c r="AQ12" s="702"/>
      <c r="AR12" s="702"/>
      <c r="AS12" s="702"/>
      <c r="AT12" s="728"/>
      <c r="AU12" s="332"/>
      <c r="AV12" s="332"/>
      <c r="AW12" s="332"/>
      <c r="AX12" s="332"/>
      <c r="AY12" s="332"/>
      <c r="AZ12" s="332"/>
      <c r="BA12" s="332"/>
      <c r="BB12" s="332"/>
      <c r="BC12" s="332"/>
      <c r="BD12" s="332"/>
      <c r="BE12" s="332"/>
      <c r="BF12" s="332"/>
      <c r="BG12" s="332"/>
      <c r="BH12" s="332"/>
      <c r="BI12" s="332"/>
    </row>
    <row r="13" spans="1:61" ht="15.75" customHeight="1" thickBot="1" x14ac:dyDescent="0.3">
      <c r="A13" s="332"/>
      <c r="B13" s="708"/>
      <c r="C13" s="702"/>
      <c r="D13" s="703"/>
      <c r="E13" s="704"/>
      <c r="F13" s="705"/>
      <c r="G13" s="705"/>
      <c r="H13" s="705"/>
      <c r="I13" s="706"/>
      <c r="J13" s="701"/>
      <c r="K13" s="708"/>
      <c r="L13" s="708"/>
      <c r="M13" s="708"/>
      <c r="N13" s="708"/>
      <c r="O13" s="703"/>
      <c r="P13" s="701"/>
      <c r="Q13" s="708"/>
      <c r="R13" s="708"/>
      <c r="S13" s="708"/>
      <c r="T13" s="708"/>
      <c r="U13" s="703"/>
      <c r="V13" s="701"/>
      <c r="W13" s="708"/>
      <c r="X13" s="708"/>
      <c r="Y13" s="708"/>
      <c r="Z13" s="708"/>
      <c r="AA13" s="703"/>
      <c r="AB13" s="701"/>
      <c r="AC13" s="708"/>
      <c r="AD13" s="708"/>
      <c r="AE13" s="708"/>
      <c r="AF13" s="708"/>
      <c r="AG13" s="703"/>
      <c r="AH13" s="704"/>
      <c r="AI13" s="705"/>
      <c r="AJ13" s="705"/>
      <c r="AK13" s="705"/>
      <c r="AL13" s="705"/>
      <c r="AM13" s="706"/>
      <c r="AN13" s="332"/>
      <c r="AO13" s="729"/>
      <c r="AP13" s="730"/>
      <c r="AQ13" s="730"/>
      <c r="AR13" s="730"/>
      <c r="AS13" s="730"/>
      <c r="AT13" s="731"/>
      <c r="AU13" s="332"/>
      <c r="AV13" s="332"/>
      <c r="AW13" s="332"/>
      <c r="AX13" s="332"/>
      <c r="AY13" s="332"/>
      <c r="AZ13" s="332"/>
      <c r="BA13" s="332"/>
      <c r="BB13" s="332"/>
      <c r="BC13" s="332"/>
      <c r="BD13" s="332"/>
      <c r="BE13" s="332"/>
      <c r="BF13" s="332"/>
      <c r="BG13" s="332"/>
      <c r="BH13" s="332"/>
      <c r="BI13" s="332"/>
    </row>
    <row r="14" spans="1:61" ht="15" customHeight="1" x14ac:dyDescent="0.25">
      <c r="A14" s="332"/>
      <c r="B14" s="708"/>
      <c r="C14" s="702"/>
      <c r="D14" s="703"/>
      <c r="E14" s="698" t="s">
        <v>5</v>
      </c>
      <c r="F14" s="699"/>
      <c r="G14" s="699"/>
      <c r="H14" s="699"/>
      <c r="I14" s="699"/>
      <c r="J14" s="717" t="str" cm="1">
        <f t="array" ref="J14">IF(AND('Matriz riesgos de gestión'!M17:M26="Muy Alta",'Matriz riesgos de gestión'!Q17:Q26="Leve"),CONCATENATE("R",'Matriz riesgos de gestión'!$A$4),"")</f>
        <v/>
      </c>
      <c r="K14" s="718"/>
      <c r="L14" s="718" t="s">
        <v>18</v>
      </c>
      <c r="M14" s="699"/>
      <c r="N14" s="718" t="s">
        <v>18</v>
      </c>
      <c r="O14" s="700"/>
      <c r="P14" s="717" t="s">
        <v>18</v>
      </c>
      <c r="Q14" s="699"/>
      <c r="R14" s="718" t="s">
        <v>18</v>
      </c>
      <c r="S14" s="699"/>
      <c r="T14" s="718" t="s">
        <v>18</v>
      </c>
      <c r="U14" s="700"/>
      <c r="V14" s="719" t="s">
        <v>18</v>
      </c>
      <c r="W14" s="699"/>
      <c r="X14" s="720" t="s">
        <v>18</v>
      </c>
      <c r="Y14" s="699"/>
      <c r="Z14" s="720" t="s">
        <v>18</v>
      </c>
      <c r="AA14" s="700"/>
      <c r="AB14" s="719" t="s">
        <v>18</v>
      </c>
      <c r="AC14" s="699"/>
      <c r="AD14" s="720" t="s">
        <v>18</v>
      </c>
      <c r="AE14" s="699"/>
      <c r="AF14" s="720" t="s">
        <v>18</v>
      </c>
      <c r="AG14" s="700"/>
      <c r="AH14" s="723" t="s">
        <v>18</v>
      </c>
      <c r="AI14" s="699"/>
      <c r="AJ14" s="716" t="s">
        <v>18</v>
      </c>
      <c r="AK14" s="699"/>
      <c r="AL14" s="716" t="s">
        <v>18</v>
      </c>
      <c r="AM14" s="700"/>
      <c r="AN14" s="332"/>
      <c r="AO14" s="733" t="s">
        <v>6</v>
      </c>
      <c r="AP14" s="725"/>
      <c r="AQ14" s="725"/>
      <c r="AR14" s="725"/>
      <c r="AS14" s="725"/>
      <c r="AT14" s="726"/>
      <c r="AU14" s="332"/>
      <c r="AV14" s="332"/>
      <c r="AW14" s="332"/>
      <c r="AX14" s="332"/>
      <c r="AY14" s="332"/>
      <c r="AZ14" s="332"/>
      <c r="BA14" s="332"/>
      <c r="BB14" s="332"/>
      <c r="BC14" s="332"/>
      <c r="BD14" s="332"/>
      <c r="BE14" s="332"/>
      <c r="BF14" s="332"/>
      <c r="BG14" s="332"/>
      <c r="BH14" s="332"/>
      <c r="BI14" s="332"/>
    </row>
    <row r="15" spans="1:61" ht="15" customHeight="1" x14ac:dyDescent="0.25">
      <c r="A15" s="332"/>
      <c r="B15" s="708"/>
      <c r="C15" s="702"/>
      <c r="D15" s="703"/>
      <c r="E15" s="701"/>
      <c r="F15" s="702"/>
      <c r="G15" s="702"/>
      <c r="H15" s="702"/>
      <c r="I15" s="702"/>
      <c r="J15" s="714"/>
      <c r="K15" s="715"/>
      <c r="L15" s="708"/>
      <c r="M15" s="708"/>
      <c r="N15" s="708"/>
      <c r="O15" s="703"/>
      <c r="P15" s="701"/>
      <c r="Q15" s="708"/>
      <c r="R15" s="708"/>
      <c r="S15" s="708"/>
      <c r="T15" s="708"/>
      <c r="U15" s="703"/>
      <c r="V15" s="701"/>
      <c r="W15" s="708"/>
      <c r="X15" s="708"/>
      <c r="Y15" s="708"/>
      <c r="Z15" s="708"/>
      <c r="AA15" s="703"/>
      <c r="AB15" s="701"/>
      <c r="AC15" s="708"/>
      <c r="AD15" s="708"/>
      <c r="AE15" s="708"/>
      <c r="AF15" s="708"/>
      <c r="AG15" s="703"/>
      <c r="AH15" s="701"/>
      <c r="AI15" s="708"/>
      <c r="AJ15" s="708"/>
      <c r="AK15" s="708"/>
      <c r="AL15" s="708"/>
      <c r="AM15" s="703"/>
      <c r="AN15" s="332"/>
      <c r="AO15" s="727"/>
      <c r="AP15" s="702"/>
      <c r="AQ15" s="702"/>
      <c r="AR15" s="702"/>
      <c r="AS15" s="702"/>
      <c r="AT15" s="728"/>
      <c r="AU15" s="332"/>
      <c r="AV15" s="332"/>
      <c r="AW15" s="332"/>
      <c r="AX15" s="332"/>
      <c r="AY15" s="332"/>
      <c r="AZ15" s="332"/>
      <c r="BA15" s="332"/>
      <c r="BB15" s="332"/>
      <c r="BC15" s="332"/>
      <c r="BD15" s="332"/>
      <c r="BE15" s="332"/>
      <c r="BF15" s="332"/>
      <c r="BG15" s="332"/>
      <c r="BH15" s="332"/>
      <c r="BI15" s="332"/>
    </row>
    <row r="16" spans="1:61" ht="15" customHeight="1" x14ac:dyDescent="0.25">
      <c r="A16" s="332"/>
      <c r="B16" s="708"/>
      <c r="C16" s="702"/>
      <c r="D16" s="703"/>
      <c r="E16" s="701"/>
      <c r="F16" s="702"/>
      <c r="G16" s="702"/>
      <c r="H16" s="702"/>
      <c r="I16" s="702"/>
      <c r="J16" s="714" t="s">
        <v>18</v>
      </c>
      <c r="K16" s="708"/>
      <c r="L16" s="715" t="s">
        <v>18</v>
      </c>
      <c r="M16" s="708"/>
      <c r="N16" s="715" t="s">
        <v>18</v>
      </c>
      <c r="O16" s="703"/>
      <c r="P16" s="714" t="s">
        <v>18</v>
      </c>
      <c r="Q16" s="708"/>
      <c r="R16" s="715" t="s">
        <v>18</v>
      </c>
      <c r="S16" s="708"/>
      <c r="T16" s="715" t="s">
        <v>18</v>
      </c>
      <c r="U16" s="703"/>
      <c r="V16" s="707" t="s">
        <v>18</v>
      </c>
      <c r="W16" s="708"/>
      <c r="X16" s="709" t="s">
        <v>18</v>
      </c>
      <c r="Y16" s="708"/>
      <c r="Z16" s="709" t="s">
        <v>18</v>
      </c>
      <c r="AA16" s="703"/>
      <c r="AB16" s="707" t="s">
        <v>18</v>
      </c>
      <c r="AC16" s="708"/>
      <c r="AD16" s="709" t="s">
        <v>18</v>
      </c>
      <c r="AE16" s="708"/>
      <c r="AF16" s="709" t="s">
        <v>18</v>
      </c>
      <c r="AG16" s="703"/>
      <c r="AH16" s="710" t="s">
        <v>18</v>
      </c>
      <c r="AI16" s="708"/>
      <c r="AJ16" s="711" t="s">
        <v>18</v>
      </c>
      <c r="AK16" s="708"/>
      <c r="AL16" s="711" t="s">
        <v>18</v>
      </c>
      <c r="AM16" s="703"/>
      <c r="AN16" s="332"/>
      <c r="AO16" s="727"/>
      <c r="AP16" s="702"/>
      <c r="AQ16" s="702"/>
      <c r="AR16" s="702"/>
      <c r="AS16" s="702"/>
      <c r="AT16" s="728"/>
      <c r="AU16" s="332"/>
      <c r="AV16" s="332"/>
      <c r="AW16" s="332"/>
      <c r="AX16" s="332"/>
      <c r="AY16" s="332"/>
      <c r="AZ16" s="332"/>
      <c r="BA16" s="332"/>
      <c r="BB16" s="332"/>
      <c r="BC16" s="332"/>
      <c r="BD16" s="332"/>
      <c r="BE16" s="332"/>
      <c r="BF16" s="332"/>
      <c r="BG16" s="332"/>
      <c r="BH16" s="332"/>
      <c r="BI16" s="332"/>
    </row>
    <row r="17" spans="1:61" ht="15" customHeight="1" x14ac:dyDescent="0.25">
      <c r="A17" s="332"/>
      <c r="B17" s="708"/>
      <c r="C17" s="702"/>
      <c r="D17" s="703"/>
      <c r="E17" s="701"/>
      <c r="F17" s="702"/>
      <c r="G17" s="702"/>
      <c r="H17" s="702"/>
      <c r="I17" s="702"/>
      <c r="J17" s="701"/>
      <c r="K17" s="708"/>
      <c r="L17" s="708"/>
      <c r="M17" s="708"/>
      <c r="N17" s="708"/>
      <c r="O17" s="703"/>
      <c r="P17" s="701"/>
      <c r="Q17" s="708"/>
      <c r="R17" s="708"/>
      <c r="S17" s="708"/>
      <c r="T17" s="708"/>
      <c r="U17" s="703"/>
      <c r="V17" s="701"/>
      <c r="W17" s="708"/>
      <c r="X17" s="708"/>
      <c r="Y17" s="708"/>
      <c r="Z17" s="708"/>
      <c r="AA17" s="703"/>
      <c r="AB17" s="701"/>
      <c r="AC17" s="708"/>
      <c r="AD17" s="708"/>
      <c r="AE17" s="708"/>
      <c r="AF17" s="708"/>
      <c r="AG17" s="703"/>
      <c r="AH17" s="701"/>
      <c r="AI17" s="708"/>
      <c r="AJ17" s="708"/>
      <c r="AK17" s="708"/>
      <c r="AL17" s="708"/>
      <c r="AM17" s="703"/>
      <c r="AN17" s="332"/>
      <c r="AO17" s="727"/>
      <c r="AP17" s="702"/>
      <c r="AQ17" s="702"/>
      <c r="AR17" s="702"/>
      <c r="AS17" s="702"/>
      <c r="AT17" s="728"/>
      <c r="AU17" s="332"/>
      <c r="AV17" s="332"/>
      <c r="AW17" s="332"/>
      <c r="AX17" s="332"/>
      <c r="AY17" s="332"/>
      <c r="AZ17" s="332"/>
      <c r="BA17" s="332"/>
      <c r="BB17" s="332"/>
      <c r="BC17" s="332"/>
      <c r="BD17" s="332"/>
      <c r="BE17" s="332"/>
      <c r="BF17" s="332"/>
      <c r="BG17" s="332"/>
      <c r="BH17" s="332"/>
      <c r="BI17" s="332"/>
    </row>
    <row r="18" spans="1:61" ht="15" customHeight="1" x14ac:dyDescent="0.25">
      <c r="A18" s="332"/>
      <c r="B18" s="708"/>
      <c r="C18" s="702"/>
      <c r="D18" s="703"/>
      <c r="E18" s="701"/>
      <c r="F18" s="702"/>
      <c r="G18" s="702"/>
      <c r="H18" s="702"/>
      <c r="I18" s="702"/>
      <c r="J18" s="714" t="s">
        <v>18</v>
      </c>
      <c r="K18" s="708"/>
      <c r="L18" s="715" t="s">
        <v>18</v>
      </c>
      <c r="M18" s="708"/>
      <c r="N18" s="715" t="s">
        <v>18</v>
      </c>
      <c r="O18" s="703"/>
      <c r="P18" s="714" t="s">
        <v>18</v>
      </c>
      <c r="Q18" s="708"/>
      <c r="R18" s="715" t="s">
        <v>18</v>
      </c>
      <c r="S18" s="708"/>
      <c r="T18" s="715" t="s">
        <v>18</v>
      </c>
      <c r="U18" s="703"/>
      <c r="V18" s="707" t="s">
        <v>18</v>
      </c>
      <c r="W18" s="708"/>
      <c r="X18" s="709" t="s">
        <v>18</v>
      </c>
      <c r="Y18" s="708"/>
      <c r="Z18" s="709" t="s">
        <v>18</v>
      </c>
      <c r="AA18" s="703"/>
      <c r="AB18" s="707" t="s">
        <v>18</v>
      </c>
      <c r="AC18" s="708"/>
      <c r="AD18" s="709" t="s">
        <v>18</v>
      </c>
      <c r="AE18" s="708"/>
      <c r="AF18" s="709" t="s">
        <v>18</v>
      </c>
      <c r="AG18" s="703"/>
      <c r="AH18" s="710" t="s">
        <v>18</v>
      </c>
      <c r="AI18" s="708"/>
      <c r="AJ18" s="711" t="s">
        <v>18</v>
      </c>
      <c r="AK18" s="708"/>
      <c r="AL18" s="711" t="s">
        <v>18</v>
      </c>
      <c r="AM18" s="703"/>
      <c r="AN18" s="332"/>
      <c r="AO18" s="727"/>
      <c r="AP18" s="702"/>
      <c r="AQ18" s="702"/>
      <c r="AR18" s="702"/>
      <c r="AS18" s="702"/>
      <c r="AT18" s="728"/>
      <c r="AU18" s="332"/>
      <c r="AV18" s="332"/>
      <c r="AW18" s="332"/>
      <c r="AX18" s="332"/>
      <c r="AY18" s="332"/>
      <c r="AZ18" s="332"/>
      <c r="BA18" s="332"/>
      <c r="BB18" s="332"/>
      <c r="BC18" s="332"/>
      <c r="BD18" s="332"/>
      <c r="BE18" s="332"/>
      <c r="BF18" s="332"/>
      <c r="BG18" s="332"/>
      <c r="BH18" s="332"/>
      <c r="BI18" s="332"/>
    </row>
    <row r="19" spans="1:61" ht="15" customHeight="1" x14ac:dyDescent="0.25">
      <c r="A19" s="332"/>
      <c r="B19" s="708"/>
      <c r="C19" s="702"/>
      <c r="D19" s="703"/>
      <c r="E19" s="701"/>
      <c r="F19" s="702"/>
      <c r="G19" s="702"/>
      <c r="H19" s="702"/>
      <c r="I19" s="702"/>
      <c r="J19" s="701"/>
      <c r="K19" s="708"/>
      <c r="L19" s="708"/>
      <c r="M19" s="708"/>
      <c r="N19" s="708"/>
      <c r="O19" s="703"/>
      <c r="P19" s="701"/>
      <c r="Q19" s="708"/>
      <c r="R19" s="708"/>
      <c r="S19" s="708"/>
      <c r="T19" s="708"/>
      <c r="U19" s="703"/>
      <c r="V19" s="701"/>
      <c r="W19" s="708"/>
      <c r="X19" s="708"/>
      <c r="Y19" s="708"/>
      <c r="Z19" s="708"/>
      <c r="AA19" s="703"/>
      <c r="AB19" s="701"/>
      <c r="AC19" s="708"/>
      <c r="AD19" s="708"/>
      <c r="AE19" s="708"/>
      <c r="AF19" s="708"/>
      <c r="AG19" s="703"/>
      <c r="AH19" s="701"/>
      <c r="AI19" s="708"/>
      <c r="AJ19" s="708"/>
      <c r="AK19" s="708"/>
      <c r="AL19" s="708"/>
      <c r="AM19" s="703"/>
      <c r="AN19" s="332"/>
      <c r="AO19" s="727"/>
      <c r="AP19" s="702"/>
      <c r="AQ19" s="702"/>
      <c r="AR19" s="702"/>
      <c r="AS19" s="702"/>
      <c r="AT19" s="728"/>
      <c r="AU19" s="332"/>
      <c r="AV19" s="332"/>
      <c r="AW19" s="332"/>
      <c r="AX19" s="332"/>
      <c r="AY19" s="332"/>
      <c r="AZ19" s="332"/>
      <c r="BA19" s="332"/>
      <c r="BB19" s="332"/>
      <c r="BC19" s="332"/>
      <c r="BD19" s="332"/>
      <c r="BE19" s="332"/>
      <c r="BF19" s="332"/>
      <c r="BG19" s="332"/>
      <c r="BH19" s="332"/>
      <c r="BI19" s="332"/>
    </row>
    <row r="20" spans="1:61" ht="15" customHeight="1" x14ac:dyDescent="0.25">
      <c r="A20" s="332"/>
      <c r="B20" s="708"/>
      <c r="C20" s="702"/>
      <c r="D20" s="703"/>
      <c r="E20" s="701"/>
      <c r="F20" s="702"/>
      <c r="G20" s="702"/>
      <c r="H20" s="702"/>
      <c r="I20" s="702"/>
      <c r="J20" s="714" t="s">
        <v>18</v>
      </c>
      <c r="K20" s="708"/>
      <c r="L20" s="715" t="s">
        <v>18</v>
      </c>
      <c r="M20" s="708"/>
      <c r="N20" s="715" t="s">
        <v>18</v>
      </c>
      <c r="O20" s="703"/>
      <c r="P20" s="714" t="s">
        <v>18</v>
      </c>
      <c r="Q20" s="708"/>
      <c r="R20" s="715" t="s">
        <v>18</v>
      </c>
      <c r="S20" s="708"/>
      <c r="T20" s="715" t="s">
        <v>18</v>
      </c>
      <c r="U20" s="703"/>
      <c r="V20" s="707" t="s">
        <v>18</v>
      </c>
      <c r="W20" s="708"/>
      <c r="X20" s="709" t="s">
        <v>18</v>
      </c>
      <c r="Y20" s="708"/>
      <c r="Z20" s="709" t="s">
        <v>18</v>
      </c>
      <c r="AA20" s="703"/>
      <c r="AB20" s="707" t="s">
        <v>18</v>
      </c>
      <c r="AC20" s="708"/>
      <c r="AD20" s="709" t="s">
        <v>18</v>
      </c>
      <c r="AE20" s="708"/>
      <c r="AF20" s="709" t="s">
        <v>18</v>
      </c>
      <c r="AG20" s="703"/>
      <c r="AH20" s="710" t="s">
        <v>18</v>
      </c>
      <c r="AI20" s="708"/>
      <c r="AJ20" s="711" t="s">
        <v>18</v>
      </c>
      <c r="AK20" s="708"/>
      <c r="AL20" s="711" t="s">
        <v>18</v>
      </c>
      <c r="AM20" s="703"/>
      <c r="AN20" s="332"/>
      <c r="AO20" s="727"/>
      <c r="AP20" s="702"/>
      <c r="AQ20" s="702"/>
      <c r="AR20" s="702"/>
      <c r="AS20" s="702"/>
      <c r="AT20" s="728"/>
      <c r="AU20" s="332"/>
      <c r="AV20" s="332"/>
      <c r="AW20" s="332"/>
      <c r="AX20" s="332"/>
      <c r="AY20" s="332"/>
      <c r="AZ20" s="332"/>
      <c r="BA20" s="332"/>
      <c r="BB20" s="332"/>
      <c r="BC20" s="332"/>
      <c r="BD20" s="332"/>
      <c r="BE20" s="332"/>
      <c r="BF20" s="332"/>
      <c r="BG20" s="332"/>
      <c r="BH20" s="332"/>
      <c r="BI20" s="332"/>
    </row>
    <row r="21" spans="1:61" ht="15.75" customHeight="1" thickBot="1" x14ac:dyDescent="0.3">
      <c r="A21" s="332"/>
      <c r="B21" s="708"/>
      <c r="C21" s="702"/>
      <c r="D21" s="703"/>
      <c r="E21" s="704"/>
      <c r="F21" s="705"/>
      <c r="G21" s="705"/>
      <c r="H21" s="705"/>
      <c r="I21" s="705"/>
      <c r="J21" s="704"/>
      <c r="K21" s="705"/>
      <c r="L21" s="705"/>
      <c r="M21" s="705"/>
      <c r="N21" s="705"/>
      <c r="O21" s="706"/>
      <c r="P21" s="704"/>
      <c r="Q21" s="705"/>
      <c r="R21" s="705"/>
      <c r="S21" s="705"/>
      <c r="T21" s="705"/>
      <c r="U21" s="706"/>
      <c r="V21" s="704"/>
      <c r="W21" s="705"/>
      <c r="X21" s="705"/>
      <c r="Y21" s="705"/>
      <c r="Z21" s="705"/>
      <c r="AA21" s="706"/>
      <c r="AB21" s="704"/>
      <c r="AC21" s="705"/>
      <c r="AD21" s="705"/>
      <c r="AE21" s="705"/>
      <c r="AF21" s="705"/>
      <c r="AG21" s="706"/>
      <c r="AH21" s="704"/>
      <c r="AI21" s="705"/>
      <c r="AJ21" s="705"/>
      <c r="AK21" s="705"/>
      <c r="AL21" s="705"/>
      <c r="AM21" s="706"/>
      <c r="AN21" s="332"/>
      <c r="AO21" s="729"/>
      <c r="AP21" s="730"/>
      <c r="AQ21" s="730"/>
      <c r="AR21" s="730"/>
      <c r="AS21" s="730"/>
      <c r="AT21" s="731"/>
      <c r="AU21" s="332"/>
      <c r="AV21" s="332"/>
      <c r="AW21" s="332"/>
      <c r="AX21" s="332"/>
      <c r="AY21" s="332"/>
      <c r="AZ21" s="332"/>
      <c r="BA21" s="332"/>
      <c r="BB21" s="332"/>
      <c r="BC21" s="332"/>
      <c r="BD21" s="332"/>
      <c r="BE21" s="332"/>
      <c r="BF21" s="332"/>
      <c r="BG21" s="332"/>
      <c r="BH21" s="332"/>
      <c r="BI21" s="332"/>
    </row>
    <row r="22" spans="1:61" ht="15.75" customHeight="1" x14ac:dyDescent="0.25">
      <c r="A22" s="332"/>
      <c r="B22" s="708"/>
      <c r="C22" s="702"/>
      <c r="D22" s="703"/>
      <c r="E22" s="698" t="s">
        <v>7</v>
      </c>
      <c r="F22" s="699"/>
      <c r="G22" s="699"/>
      <c r="H22" s="699"/>
      <c r="I22" s="700"/>
      <c r="J22" s="717" t="str" cm="1">
        <f t="array" ref="J22">IF(AND('Matriz riesgos de gestión'!M30:M35="Muy Alta",'Matriz riesgos de gestión'!Q30:Q35="Leve"),CONCATENATE("R",'Matriz riesgos de gestión'!$A$4),"")</f>
        <v/>
      </c>
      <c r="K22" s="718"/>
      <c r="L22" s="718" t="s">
        <v>18</v>
      </c>
      <c r="M22" s="699"/>
      <c r="N22" s="718" t="s">
        <v>18</v>
      </c>
      <c r="O22" s="700"/>
      <c r="P22" s="717" t="s">
        <v>18</v>
      </c>
      <c r="Q22" s="699"/>
      <c r="R22" s="718" t="s">
        <v>18</v>
      </c>
      <c r="S22" s="699"/>
      <c r="T22" s="718" t="s">
        <v>18</v>
      </c>
      <c r="U22" s="700"/>
      <c r="V22" s="717" t="s">
        <v>18</v>
      </c>
      <c r="W22" s="699"/>
      <c r="X22" s="718" t="s">
        <v>18</v>
      </c>
      <c r="Y22" s="699"/>
      <c r="Z22" s="718" t="s">
        <v>18</v>
      </c>
      <c r="AA22" s="700"/>
      <c r="AB22" s="719" t="s">
        <v>18</v>
      </c>
      <c r="AC22" s="699"/>
      <c r="AD22" s="720" t="s">
        <v>18</v>
      </c>
      <c r="AE22" s="699"/>
      <c r="AF22" s="720" t="s">
        <v>18</v>
      </c>
      <c r="AG22" s="700"/>
      <c r="AH22" s="723" t="s">
        <v>18</v>
      </c>
      <c r="AI22" s="699"/>
      <c r="AJ22" s="716" t="s">
        <v>18</v>
      </c>
      <c r="AK22" s="699"/>
      <c r="AL22" s="716" t="s">
        <v>18</v>
      </c>
      <c r="AM22" s="700"/>
      <c r="AN22" s="332"/>
      <c r="AO22" s="732" t="s">
        <v>8</v>
      </c>
      <c r="AP22" s="725"/>
      <c r="AQ22" s="725"/>
      <c r="AR22" s="725"/>
      <c r="AS22" s="725"/>
      <c r="AT22" s="726"/>
      <c r="AU22" s="332"/>
      <c r="AV22" s="332"/>
      <c r="AW22" s="332"/>
      <c r="AX22" s="332"/>
      <c r="AY22" s="332"/>
      <c r="AZ22" s="332"/>
      <c r="BA22" s="332"/>
      <c r="BB22" s="332"/>
      <c r="BC22" s="332"/>
      <c r="BD22" s="332"/>
      <c r="BE22" s="332"/>
      <c r="BF22" s="332"/>
      <c r="BG22" s="332"/>
      <c r="BH22" s="332"/>
      <c r="BI22" s="332"/>
    </row>
    <row r="23" spans="1:61" ht="15.75" customHeight="1" x14ac:dyDescent="0.25">
      <c r="A23" s="332"/>
      <c r="B23" s="708"/>
      <c r="C23" s="702"/>
      <c r="D23" s="703"/>
      <c r="E23" s="701"/>
      <c r="F23" s="702"/>
      <c r="G23" s="702"/>
      <c r="H23" s="702"/>
      <c r="I23" s="703"/>
      <c r="J23" s="714"/>
      <c r="K23" s="715"/>
      <c r="L23" s="708"/>
      <c r="M23" s="708"/>
      <c r="N23" s="708"/>
      <c r="O23" s="703"/>
      <c r="P23" s="701"/>
      <c r="Q23" s="708"/>
      <c r="R23" s="708"/>
      <c r="S23" s="708"/>
      <c r="T23" s="708"/>
      <c r="U23" s="703"/>
      <c r="V23" s="701"/>
      <c r="W23" s="708"/>
      <c r="X23" s="708"/>
      <c r="Y23" s="708"/>
      <c r="Z23" s="708"/>
      <c r="AA23" s="703"/>
      <c r="AB23" s="701"/>
      <c r="AC23" s="708"/>
      <c r="AD23" s="708"/>
      <c r="AE23" s="708"/>
      <c r="AF23" s="708"/>
      <c r="AG23" s="703"/>
      <c r="AH23" s="701"/>
      <c r="AI23" s="708"/>
      <c r="AJ23" s="708"/>
      <c r="AK23" s="708"/>
      <c r="AL23" s="708"/>
      <c r="AM23" s="703"/>
      <c r="AN23" s="332"/>
      <c r="AO23" s="727"/>
      <c r="AP23" s="702"/>
      <c r="AQ23" s="702"/>
      <c r="AR23" s="702"/>
      <c r="AS23" s="702"/>
      <c r="AT23" s="728"/>
      <c r="AU23" s="332"/>
      <c r="AV23" s="332"/>
      <c r="AW23" s="332"/>
      <c r="AX23" s="332"/>
      <c r="AY23" s="332"/>
      <c r="AZ23" s="332"/>
      <c r="BA23" s="332"/>
      <c r="BB23" s="332"/>
      <c r="BC23" s="332"/>
      <c r="BD23" s="332"/>
      <c r="BE23" s="332"/>
      <c r="BF23" s="332"/>
      <c r="BG23" s="332"/>
      <c r="BH23" s="332"/>
      <c r="BI23" s="332"/>
    </row>
    <row r="24" spans="1:61" ht="15.75" customHeight="1" x14ac:dyDescent="0.25">
      <c r="A24" s="332"/>
      <c r="B24" s="708"/>
      <c r="C24" s="702"/>
      <c r="D24" s="703"/>
      <c r="E24" s="701"/>
      <c r="F24" s="702"/>
      <c r="G24" s="702"/>
      <c r="H24" s="702"/>
      <c r="I24" s="703"/>
      <c r="J24" s="714" t="s">
        <v>18</v>
      </c>
      <c r="K24" s="708"/>
      <c r="L24" s="715" t="s">
        <v>18</v>
      </c>
      <c r="M24" s="708"/>
      <c r="N24" s="715" t="s">
        <v>18</v>
      </c>
      <c r="O24" s="703"/>
      <c r="P24" s="714" t="s">
        <v>18</v>
      </c>
      <c r="Q24" s="708"/>
      <c r="R24" s="715" t="s">
        <v>18</v>
      </c>
      <c r="S24" s="708"/>
      <c r="T24" s="715" t="s">
        <v>18</v>
      </c>
      <c r="U24" s="703"/>
      <c r="V24" s="714" t="s">
        <v>18</v>
      </c>
      <c r="W24" s="708"/>
      <c r="X24" s="715" t="s">
        <v>18</v>
      </c>
      <c r="Y24" s="708"/>
      <c r="Z24" s="715" t="s">
        <v>18</v>
      </c>
      <c r="AA24" s="703"/>
      <c r="AB24" s="707" t="s">
        <v>18</v>
      </c>
      <c r="AC24" s="708"/>
      <c r="AD24" s="709" t="s">
        <v>18</v>
      </c>
      <c r="AE24" s="708"/>
      <c r="AF24" s="709" t="s">
        <v>18</v>
      </c>
      <c r="AG24" s="703"/>
      <c r="AH24" s="710" t="s">
        <v>18</v>
      </c>
      <c r="AI24" s="708"/>
      <c r="AJ24" s="711" t="s">
        <v>18</v>
      </c>
      <c r="AK24" s="708"/>
      <c r="AL24" s="711" t="s">
        <v>18</v>
      </c>
      <c r="AM24" s="703"/>
      <c r="AN24" s="332"/>
      <c r="AO24" s="727"/>
      <c r="AP24" s="702"/>
      <c r="AQ24" s="702"/>
      <c r="AR24" s="702"/>
      <c r="AS24" s="702"/>
      <c r="AT24" s="728"/>
      <c r="AU24" s="332"/>
      <c r="AV24" s="332"/>
      <c r="AW24" s="332"/>
      <c r="AX24" s="332"/>
      <c r="AY24" s="332"/>
      <c r="AZ24" s="332"/>
      <c r="BA24" s="332"/>
      <c r="BB24" s="332"/>
      <c r="BC24" s="332"/>
      <c r="BD24" s="332"/>
      <c r="BE24" s="332"/>
      <c r="BF24" s="332"/>
      <c r="BG24" s="332"/>
      <c r="BH24" s="332"/>
      <c r="BI24" s="332"/>
    </row>
    <row r="25" spans="1:61" ht="15.75" customHeight="1" x14ac:dyDescent="0.25">
      <c r="A25" s="332"/>
      <c r="B25" s="708"/>
      <c r="C25" s="702"/>
      <c r="D25" s="703"/>
      <c r="E25" s="701"/>
      <c r="F25" s="702"/>
      <c r="G25" s="702"/>
      <c r="H25" s="702"/>
      <c r="I25" s="703"/>
      <c r="J25" s="701"/>
      <c r="K25" s="708"/>
      <c r="L25" s="708"/>
      <c r="M25" s="708"/>
      <c r="N25" s="708"/>
      <c r="O25" s="703"/>
      <c r="P25" s="701"/>
      <c r="Q25" s="708"/>
      <c r="R25" s="708"/>
      <c r="S25" s="708"/>
      <c r="T25" s="708"/>
      <c r="U25" s="703"/>
      <c r="V25" s="701"/>
      <c r="W25" s="708"/>
      <c r="X25" s="708"/>
      <c r="Y25" s="708"/>
      <c r="Z25" s="708"/>
      <c r="AA25" s="703"/>
      <c r="AB25" s="701"/>
      <c r="AC25" s="708"/>
      <c r="AD25" s="708"/>
      <c r="AE25" s="708"/>
      <c r="AF25" s="708"/>
      <c r="AG25" s="703"/>
      <c r="AH25" s="701"/>
      <c r="AI25" s="708"/>
      <c r="AJ25" s="708"/>
      <c r="AK25" s="708"/>
      <c r="AL25" s="708"/>
      <c r="AM25" s="703"/>
      <c r="AN25" s="332"/>
      <c r="AO25" s="727"/>
      <c r="AP25" s="702"/>
      <c r="AQ25" s="702"/>
      <c r="AR25" s="702"/>
      <c r="AS25" s="702"/>
      <c r="AT25" s="728"/>
      <c r="AU25" s="332"/>
      <c r="AV25" s="332"/>
      <c r="AW25" s="332"/>
      <c r="AX25" s="332"/>
      <c r="AY25" s="332"/>
      <c r="AZ25" s="332"/>
      <c r="BA25" s="332"/>
      <c r="BB25" s="332"/>
      <c r="BC25" s="332"/>
      <c r="BD25" s="332"/>
      <c r="BE25" s="332"/>
      <c r="BF25" s="332"/>
      <c r="BG25" s="332"/>
      <c r="BH25" s="332"/>
      <c r="BI25" s="332"/>
    </row>
    <row r="26" spans="1:61" ht="15.75" customHeight="1" x14ac:dyDescent="0.25">
      <c r="A26" s="332"/>
      <c r="B26" s="708"/>
      <c r="C26" s="702"/>
      <c r="D26" s="703"/>
      <c r="E26" s="701"/>
      <c r="F26" s="702"/>
      <c r="G26" s="702"/>
      <c r="H26" s="702"/>
      <c r="I26" s="703"/>
      <c r="J26" s="714" t="s">
        <v>18</v>
      </c>
      <c r="K26" s="708"/>
      <c r="L26" s="715" t="s">
        <v>18</v>
      </c>
      <c r="M26" s="708"/>
      <c r="N26" s="715" t="s">
        <v>18</v>
      </c>
      <c r="O26" s="703"/>
      <c r="P26" s="714" t="s">
        <v>18</v>
      </c>
      <c r="Q26" s="708"/>
      <c r="R26" s="715" t="s">
        <v>18</v>
      </c>
      <c r="S26" s="708"/>
      <c r="T26" s="715" t="s">
        <v>18</v>
      </c>
      <c r="U26" s="703"/>
      <c r="V26" s="714" t="s">
        <v>18</v>
      </c>
      <c r="W26" s="708"/>
      <c r="X26" s="715" t="s">
        <v>18</v>
      </c>
      <c r="Y26" s="708"/>
      <c r="Z26" s="715" t="s">
        <v>18</v>
      </c>
      <c r="AA26" s="703"/>
      <c r="AB26" s="707" t="s">
        <v>18</v>
      </c>
      <c r="AC26" s="708"/>
      <c r="AD26" s="709" t="s">
        <v>18</v>
      </c>
      <c r="AE26" s="708"/>
      <c r="AF26" s="709" t="s">
        <v>18</v>
      </c>
      <c r="AG26" s="703"/>
      <c r="AH26" s="710" t="s">
        <v>18</v>
      </c>
      <c r="AI26" s="708"/>
      <c r="AJ26" s="711" t="s">
        <v>18</v>
      </c>
      <c r="AK26" s="708"/>
      <c r="AL26" s="711" t="s">
        <v>18</v>
      </c>
      <c r="AM26" s="703"/>
      <c r="AN26" s="332"/>
      <c r="AO26" s="727"/>
      <c r="AP26" s="702"/>
      <c r="AQ26" s="702"/>
      <c r="AR26" s="702"/>
      <c r="AS26" s="702"/>
      <c r="AT26" s="728"/>
      <c r="AU26" s="332"/>
      <c r="AV26" s="332"/>
      <c r="AW26" s="332"/>
      <c r="AX26" s="332"/>
      <c r="AY26" s="332"/>
      <c r="AZ26" s="332"/>
      <c r="BA26" s="332"/>
      <c r="BB26" s="332"/>
      <c r="BC26" s="332"/>
      <c r="BD26" s="332"/>
      <c r="BE26" s="332"/>
      <c r="BF26" s="332"/>
      <c r="BG26" s="332"/>
      <c r="BH26" s="332"/>
      <c r="BI26" s="332"/>
    </row>
    <row r="27" spans="1:61" ht="15.75" customHeight="1" x14ac:dyDescent="0.25">
      <c r="A27" s="332"/>
      <c r="B27" s="708"/>
      <c r="C27" s="702"/>
      <c r="D27" s="703"/>
      <c r="E27" s="701"/>
      <c r="F27" s="702"/>
      <c r="G27" s="702"/>
      <c r="H27" s="702"/>
      <c r="I27" s="703"/>
      <c r="J27" s="701"/>
      <c r="K27" s="708"/>
      <c r="L27" s="708"/>
      <c r="M27" s="708"/>
      <c r="N27" s="708"/>
      <c r="O27" s="703"/>
      <c r="P27" s="701"/>
      <c r="Q27" s="708"/>
      <c r="R27" s="708"/>
      <c r="S27" s="708"/>
      <c r="T27" s="708"/>
      <c r="U27" s="703"/>
      <c r="V27" s="701"/>
      <c r="W27" s="708"/>
      <c r="X27" s="708"/>
      <c r="Y27" s="708"/>
      <c r="Z27" s="708"/>
      <c r="AA27" s="703"/>
      <c r="AB27" s="701"/>
      <c r="AC27" s="708"/>
      <c r="AD27" s="708"/>
      <c r="AE27" s="708"/>
      <c r="AF27" s="708"/>
      <c r="AG27" s="703"/>
      <c r="AH27" s="701"/>
      <c r="AI27" s="708"/>
      <c r="AJ27" s="708"/>
      <c r="AK27" s="708"/>
      <c r="AL27" s="708"/>
      <c r="AM27" s="703"/>
      <c r="AN27" s="332"/>
      <c r="AO27" s="727"/>
      <c r="AP27" s="702"/>
      <c r="AQ27" s="702"/>
      <c r="AR27" s="702"/>
      <c r="AS27" s="702"/>
      <c r="AT27" s="728"/>
      <c r="AU27" s="332"/>
      <c r="AV27" s="332"/>
      <c r="AW27" s="332"/>
      <c r="AX27" s="332"/>
      <c r="AY27" s="332"/>
      <c r="AZ27" s="332"/>
      <c r="BA27" s="332"/>
      <c r="BB27" s="332"/>
      <c r="BC27" s="332"/>
      <c r="BD27" s="332"/>
      <c r="BE27" s="332"/>
      <c r="BF27" s="332"/>
      <c r="BG27" s="332"/>
      <c r="BH27" s="332"/>
      <c r="BI27" s="332"/>
    </row>
    <row r="28" spans="1:61" ht="15.75" customHeight="1" x14ac:dyDescent="0.25">
      <c r="A28" s="332"/>
      <c r="B28" s="708"/>
      <c r="C28" s="702"/>
      <c r="D28" s="703"/>
      <c r="E28" s="701"/>
      <c r="F28" s="702"/>
      <c r="G28" s="702"/>
      <c r="H28" s="702"/>
      <c r="I28" s="703"/>
      <c r="J28" s="714" t="s">
        <v>18</v>
      </c>
      <c r="K28" s="708"/>
      <c r="L28" s="715" t="s">
        <v>18</v>
      </c>
      <c r="M28" s="708"/>
      <c r="N28" s="715" t="s">
        <v>18</v>
      </c>
      <c r="O28" s="703"/>
      <c r="P28" s="714" t="s">
        <v>18</v>
      </c>
      <c r="Q28" s="708"/>
      <c r="R28" s="715" t="s">
        <v>18</v>
      </c>
      <c r="S28" s="708"/>
      <c r="T28" s="715" t="s">
        <v>18</v>
      </c>
      <c r="U28" s="703"/>
      <c r="V28" s="714" t="s">
        <v>18</v>
      </c>
      <c r="W28" s="708"/>
      <c r="X28" s="715" t="s">
        <v>18</v>
      </c>
      <c r="Y28" s="708"/>
      <c r="Z28" s="715" t="s">
        <v>18</v>
      </c>
      <c r="AA28" s="703"/>
      <c r="AB28" s="707" t="s">
        <v>18</v>
      </c>
      <c r="AC28" s="708"/>
      <c r="AD28" s="709" t="s">
        <v>18</v>
      </c>
      <c r="AE28" s="708"/>
      <c r="AF28" s="709" t="s">
        <v>18</v>
      </c>
      <c r="AG28" s="703"/>
      <c r="AH28" s="710" t="s">
        <v>18</v>
      </c>
      <c r="AI28" s="708"/>
      <c r="AJ28" s="711" t="s">
        <v>18</v>
      </c>
      <c r="AK28" s="708"/>
      <c r="AL28" s="711" t="s">
        <v>18</v>
      </c>
      <c r="AM28" s="703"/>
      <c r="AN28" s="332"/>
      <c r="AO28" s="727"/>
      <c r="AP28" s="702"/>
      <c r="AQ28" s="702"/>
      <c r="AR28" s="702"/>
      <c r="AS28" s="702"/>
      <c r="AT28" s="728"/>
      <c r="AU28" s="332"/>
      <c r="AV28" s="332"/>
      <c r="AW28" s="332"/>
      <c r="AX28" s="332"/>
      <c r="AY28" s="332"/>
      <c r="AZ28" s="332"/>
      <c r="BA28" s="332"/>
      <c r="BB28" s="332"/>
      <c r="BC28" s="332"/>
      <c r="BD28" s="332"/>
      <c r="BE28" s="332"/>
      <c r="BF28" s="332"/>
      <c r="BG28" s="332"/>
      <c r="BH28" s="332"/>
      <c r="BI28" s="332"/>
    </row>
    <row r="29" spans="1:61" ht="15.75" customHeight="1" thickBot="1" x14ac:dyDescent="0.3">
      <c r="A29" s="332"/>
      <c r="B29" s="708"/>
      <c r="C29" s="702"/>
      <c r="D29" s="703"/>
      <c r="E29" s="704"/>
      <c r="F29" s="705"/>
      <c r="G29" s="705"/>
      <c r="H29" s="705"/>
      <c r="I29" s="706"/>
      <c r="J29" s="701"/>
      <c r="K29" s="708"/>
      <c r="L29" s="708"/>
      <c r="M29" s="708"/>
      <c r="N29" s="708"/>
      <c r="O29" s="703"/>
      <c r="P29" s="704"/>
      <c r="Q29" s="705"/>
      <c r="R29" s="705"/>
      <c r="S29" s="705"/>
      <c r="T29" s="705"/>
      <c r="U29" s="706"/>
      <c r="V29" s="704"/>
      <c r="W29" s="705"/>
      <c r="X29" s="705"/>
      <c r="Y29" s="705"/>
      <c r="Z29" s="705"/>
      <c r="AA29" s="706"/>
      <c r="AB29" s="704"/>
      <c r="AC29" s="705"/>
      <c r="AD29" s="705"/>
      <c r="AE29" s="705"/>
      <c r="AF29" s="705"/>
      <c r="AG29" s="706"/>
      <c r="AH29" s="704"/>
      <c r="AI29" s="705"/>
      <c r="AJ29" s="705"/>
      <c r="AK29" s="705"/>
      <c r="AL29" s="705"/>
      <c r="AM29" s="706"/>
      <c r="AN29" s="332"/>
      <c r="AO29" s="729"/>
      <c r="AP29" s="730"/>
      <c r="AQ29" s="730"/>
      <c r="AR29" s="730"/>
      <c r="AS29" s="730"/>
      <c r="AT29" s="731"/>
      <c r="AU29" s="332"/>
      <c r="AV29" s="332"/>
      <c r="AW29" s="332"/>
      <c r="AX29" s="332"/>
      <c r="AY29" s="332"/>
      <c r="AZ29" s="332"/>
      <c r="BA29" s="332"/>
      <c r="BB29" s="332"/>
      <c r="BC29" s="332"/>
      <c r="BD29" s="332"/>
      <c r="BE29" s="332"/>
      <c r="BF29" s="332"/>
      <c r="BG29" s="332"/>
      <c r="BH29" s="332"/>
      <c r="BI29" s="332"/>
    </row>
    <row r="30" spans="1:61" ht="15.75" customHeight="1" x14ac:dyDescent="0.25">
      <c r="A30" s="332"/>
      <c r="B30" s="708"/>
      <c r="C30" s="702"/>
      <c r="D30" s="703"/>
      <c r="E30" s="698" t="s">
        <v>9</v>
      </c>
      <c r="F30" s="699"/>
      <c r="G30" s="699"/>
      <c r="H30" s="699"/>
      <c r="I30" s="699"/>
      <c r="J30" s="721" t="str" cm="1">
        <f t="array" ref="J30">IF(AND('Matriz riesgos de gestión'!M38:M43="Muy Alta",'Matriz riesgos de gestión'!Q38:Q43="Leve"),CONCATENATE("R",'Matriz riesgos de gestión'!$A$4),"")</f>
        <v/>
      </c>
      <c r="K30" s="699"/>
      <c r="L30" s="722" t="s">
        <v>18</v>
      </c>
      <c r="M30" s="699"/>
      <c r="N30" s="722" t="s">
        <v>18</v>
      </c>
      <c r="O30" s="700"/>
      <c r="P30" s="718" t="s">
        <v>18</v>
      </c>
      <c r="Q30" s="699"/>
      <c r="R30" s="718" t="s">
        <v>18</v>
      </c>
      <c r="S30" s="699"/>
      <c r="T30" s="718" t="s">
        <v>18</v>
      </c>
      <c r="U30" s="700"/>
      <c r="V30" s="717" t="s">
        <v>18</v>
      </c>
      <c r="W30" s="699"/>
      <c r="X30" s="718" t="s">
        <v>18</v>
      </c>
      <c r="Y30" s="699"/>
      <c r="Z30" s="718" t="s">
        <v>18</v>
      </c>
      <c r="AA30" s="700"/>
      <c r="AB30" s="719" t="s">
        <v>18</v>
      </c>
      <c r="AC30" s="699"/>
      <c r="AD30" s="720" t="s">
        <v>18</v>
      </c>
      <c r="AE30" s="699"/>
      <c r="AF30" s="720" t="s">
        <v>18</v>
      </c>
      <c r="AG30" s="700"/>
      <c r="AH30" s="723" t="s">
        <v>18</v>
      </c>
      <c r="AI30" s="699"/>
      <c r="AJ30" s="716" t="s">
        <v>18</v>
      </c>
      <c r="AK30" s="699"/>
      <c r="AL30" s="716" t="s">
        <v>18</v>
      </c>
      <c r="AM30" s="700"/>
      <c r="AN30" s="332"/>
      <c r="AO30" s="724" t="s">
        <v>10</v>
      </c>
      <c r="AP30" s="725"/>
      <c r="AQ30" s="725"/>
      <c r="AR30" s="725"/>
      <c r="AS30" s="725"/>
      <c r="AT30" s="726"/>
      <c r="AU30" s="332"/>
      <c r="AV30" s="332"/>
      <c r="AW30" s="332"/>
      <c r="AX30" s="332"/>
      <c r="AY30" s="332"/>
      <c r="AZ30" s="332"/>
      <c r="BA30" s="332"/>
      <c r="BB30" s="332"/>
      <c r="BC30" s="332"/>
      <c r="BD30" s="332"/>
      <c r="BE30" s="332"/>
      <c r="BF30" s="332"/>
      <c r="BG30" s="332"/>
      <c r="BH30" s="332"/>
      <c r="BI30" s="332"/>
    </row>
    <row r="31" spans="1:61" ht="21.75" customHeight="1" x14ac:dyDescent="0.25">
      <c r="A31" s="332"/>
      <c r="B31" s="708"/>
      <c r="C31" s="702"/>
      <c r="D31" s="703"/>
      <c r="E31" s="701"/>
      <c r="F31" s="702"/>
      <c r="G31" s="702"/>
      <c r="H31" s="702"/>
      <c r="I31" s="702"/>
      <c r="J31" s="701"/>
      <c r="K31" s="708"/>
      <c r="L31" s="708"/>
      <c r="M31" s="708"/>
      <c r="N31" s="708"/>
      <c r="O31" s="703"/>
      <c r="P31" s="708"/>
      <c r="Q31" s="708"/>
      <c r="R31" s="708"/>
      <c r="S31" s="708"/>
      <c r="T31" s="708"/>
      <c r="U31" s="703"/>
      <c r="V31" s="701"/>
      <c r="W31" s="708"/>
      <c r="X31" s="708"/>
      <c r="Y31" s="708"/>
      <c r="Z31" s="708"/>
      <c r="AA31" s="703"/>
      <c r="AB31" s="701"/>
      <c r="AC31" s="708"/>
      <c r="AD31" s="708"/>
      <c r="AE31" s="708"/>
      <c r="AF31" s="708"/>
      <c r="AG31" s="703"/>
      <c r="AH31" s="701"/>
      <c r="AI31" s="708"/>
      <c r="AJ31" s="708"/>
      <c r="AK31" s="708"/>
      <c r="AL31" s="708"/>
      <c r="AM31" s="703"/>
      <c r="AN31" s="332"/>
      <c r="AO31" s="727"/>
      <c r="AP31" s="702"/>
      <c r="AQ31" s="702"/>
      <c r="AR31" s="702"/>
      <c r="AS31" s="702"/>
      <c r="AT31" s="728"/>
      <c r="AU31" s="332"/>
      <c r="AV31" s="332"/>
      <c r="AW31" s="332"/>
      <c r="AX31" s="332"/>
      <c r="AY31" s="332"/>
      <c r="AZ31" s="332"/>
      <c r="BA31" s="332"/>
      <c r="BB31" s="332"/>
      <c r="BC31" s="332"/>
      <c r="BD31" s="332"/>
      <c r="BE31" s="332"/>
      <c r="BF31" s="332"/>
      <c r="BG31" s="332"/>
      <c r="BH31" s="332"/>
      <c r="BI31" s="332"/>
    </row>
    <row r="32" spans="1:61" ht="15.75" customHeight="1" x14ac:dyDescent="0.25">
      <c r="A32" s="332"/>
      <c r="B32" s="708"/>
      <c r="C32" s="702"/>
      <c r="D32" s="703"/>
      <c r="E32" s="701"/>
      <c r="F32" s="702"/>
      <c r="G32" s="702"/>
      <c r="H32" s="702"/>
      <c r="I32" s="702"/>
      <c r="J32" s="712" t="s">
        <v>18</v>
      </c>
      <c r="K32" s="708"/>
      <c r="L32" s="713" t="s">
        <v>18</v>
      </c>
      <c r="M32" s="708"/>
      <c r="N32" s="713" t="s">
        <v>18</v>
      </c>
      <c r="O32" s="703"/>
      <c r="P32" s="715" t="s">
        <v>18</v>
      </c>
      <c r="Q32" s="708"/>
      <c r="R32" s="715" t="s">
        <v>18</v>
      </c>
      <c r="S32" s="708"/>
      <c r="T32" s="715" t="s">
        <v>18</v>
      </c>
      <c r="U32" s="703"/>
      <c r="V32" s="714" t="s">
        <v>18</v>
      </c>
      <c r="W32" s="708"/>
      <c r="X32" s="715" t="s">
        <v>18</v>
      </c>
      <c r="Y32" s="708"/>
      <c r="Z32" s="715" t="s">
        <v>18</v>
      </c>
      <c r="AA32" s="703"/>
      <c r="AB32" s="707" t="s">
        <v>18</v>
      </c>
      <c r="AC32" s="708"/>
      <c r="AD32" s="709" t="s">
        <v>18</v>
      </c>
      <c r="AE32" s="708"/>
      <c r="AF32" s="709" t="s">
        <v>18</v>
      </c>
      <c r="AG32" s="703"/>
      <c r="AH32" s="710" t="s">
        <v>18</v>
      </c>
      <c r="AI32" s="708"/>
      <c r="AJ32" s="711" t="s">
        <v>18</v>
      </c>
      <c r="AK32" s="708"/>
      <c r="AL32" s="711" t="s">
        <v>18</v>
      </c>
      <c r="AM32" s="703"/>
      <c r="AN32" s="332"/>
      <c r="AO32" s="727"/>
      <c r="AP32" s="702"/>
      <c r="AQ32" s="702"/>
      <c r="AR32" s="702"/>
      <c r="AS32" s="702"/>
      <c r="AT32" s="728"/>
      <c r="AU32" s="332"/>
      <c r="AV32" s="332"/>
      <c r="AW32" s="332"/>
      <c r="AX32" s="332"/>
      <c r="AY32" s="332"/>
      <c r="AZ32" s="332"/>
      <c r="BA32" s="332"/>
      <c r="BB32" s="332"/>
      <c r="BC32" s="332"/>
      <c r="BD32" s="332"/>
      <c r="BE32" s="332"/>
      <c r="BF32" s="332"/>
      <c r="BG32" s="332"/>
      <c r="BH32" s="332"/>
      <c r="BI32" s="332"/>
    </row>
    <row r="33" spans="1:61" ht="15.75" customHeight="1" x14ac:dyDescent="0.25">
      <c r="A33" s="332"/>
      <c r="B33" s="708"/>
      <c r="C33" s="702"/>
      <c r="D33" s="703"/>
      <c r="E33" s="701"/>
      <c r="F33" s="702"/>
      <c r="G33" s="702"/>
      <c r="H33" s="702"/>
      <c r="I33" s="702"/>
      <c r="J33" s="701"/>
      <c r="K33" s="708"/>
      <c r="L33" s="708"/>
      <c r="M33" s="708"/>
      <c r="N33" s="708"/>
      <c r="O33" s="703"/>
      <c r="P33" s="708"/>
      <c r="Q33" s="708"/>
      <c r="R33" s="708"/>
      <c r="S33" s="708"/>
      <c r="T33" s="708"/>
      <c r="U33" s="703"/>
      <c r="V33" s="701"/>
      <c r="W33" s="708"/>
      <c r="X33" s="708"/>
      <c r="Y33" s="708"/>
      <c r="Z33" s="708"/>
      <c r="AA33" s="703"/>
      <c r="AB33" s="701"/>
      <c r="AC33" s="708"/>
      <c r="AD33" s="708"/>
      <c r="AE33" s="708"/>
      <c r="AF33" s="708"/>
      <c r="AG33" s="703"/>
      <c r="AH33" s="701"/>
      <c r="AI33" s="708"/>
      <c r="AJ33" s="708"/>
      <c r="AK33" s="708"/>
      <c r="AL33" s="708"/>
      <c r="AM33" s="703"/>
      <c r="AN33" s="332"/>
      <c r="AO33" s="727"/>
      <c r="AP33" s="702"/>
      <c r="AQ33" s="702"/>
      <c r="AR33" s="702"/>
      <c r="AS33" s="702"/>
      <c r="AT33" s="728"/>
      <c r="AU33" s="332"/>
      <c r="AV33" s="332"/>
      <c r="AW33" s="332"/>
      <c r="AX33" s="332"/>
      <c r="AY33" s="332"/>
      <c r="AZ33" s="332"/>
      <c r="BA33" s="332"/>
      <c r="BB33" s="332"/>
      <c r="BC33" s="332"/>
      <c r="BD33" s="332"/>
      <c r="BE33" s="332"/>
      <c r="BF33" s="332"/>
      <c r="BG33" s="332"/>
      <c r="BH33" s="332"/>
      <c r="BI33" s="332"/>
    </row>
    <row r="34" spans="1:61" ht="15.75" customHeight="1" x14ac:dyDescent="0.25">
      <c r="A34" s="332"/>
      <c r="B34" s="708"/>
      <c r="C34" s="702"/>
      <c r="D34" s="703"/>
      <c r="E34" s="701"/>
      <c r="F34" s="702"/>
      <c r="G34" s="702"/>
      <c r="H34" s="702"/>
      <c r="I34" s="702"/>
      <c r="J34" s="712" t="s">
        <v>18</v>
      </c>
      <c r="K34" s="708"/>
      <c r="L34" s="713" t="s">
        <v>18</v>
      </c>
      <c r="M34" s="708"/>
      <c r="N34" s="713" t="s">
        <v>18</v>
      </c>
      <c r="O34" s="703"/>
      <c r="P34" s="715" t="s">
        <v>18</v>
      </c>
      <c r="Q34" s="708"/>
      <c r="R34" s="715" t="s">
        <v>18</v>
      </c>
      <c r="S34" s="708"/>
      <c r="T34" s="715" t="s">
        <v>18</v>
      </c>
      <c r="U34" s="703"/>
      <c r="V34" s="714" t="s">
        <v>18</v>
      </c>
      <c r="W34" s="708"/>
      <c r="X34" s="715" t="s">
        <v>18</v>
      </c>
      <c r="Y34" s="708"/>
      <c r="Z34" s="715" t="s">
        <v>18</v>
      </c>
      <c r="AA34" s="703"/>
      <c r="AB34" s="707" t="s">
        <v>18</v>
      </c>
      <c r="AC34" s="708"/>
      <c r="AD34" s="709" t="s">
        <v>18</v>
      </c>
      <c r="AE34" s="708"/>
      <c r="AF34" s="709" t="s">
        <v>18</v>
      </c>
      <c r="AG34" s="703"/>
      <c r="AH34" s="710" t="s">
        <v>18</v>
      </c>
      <c r="AI34" s="708"/>
      <c r="AJ34" s="711" t="s">
        <v>18</v>
      </c>
      <c r="AK34" s="708"/>
      <c r="AL34" s="711" t="s">
        <v>18</v>
      </c>
      <c r="AM34" s="703"/>
      <c r="AN34" s="332"/>
      <c r="AO34" s="727"/>
      <c r="AP34" s="702"/>
      <c r="AQ34" s="702"/>
      <c r="AR34" s="702"/>
      <c r="AS34" s="702"/>
      <c r="AT34" s="728"/>
      <c r="AU34" s="332"/>
      <c r="AV34" s="332"/>
      <c r="AW34" s="332"/>
      <c r="AX34" s="332"/>
      <c r="AY34" s="332"/>
      <c r="AZ34" s="332"/>
      <c r="BA34" s="332"/>
      <c r="BB34" s="332"/>
      <c r="BC34" s="332"/>
      <c r="BD34" s="332"/>
      <c r="BE34" s="332"/>
      <c r="BF34" s="332"/>
      <c r="BG34" s="332"/>
      <c r="BH34" s="332"/>
      <c r="BI34" s="332"/>
    </row>
    <row r="35" spans="1:61" ht="15.75" customHeight="1" x14ac:dyDescent="0.25">
      <c r="A35" s="332"/>
      <c r="B35" s="708"/>
      <c r="C35" s="702"/>
      <c r="D35" s="703"/>
      <c r="E35" s="701"/>
      <c r="F35" s="702"/>
      <c r="G35" s="702"/>
      <c r="H35" s="702"/>
      <c r="I35" s="702"/>
      <c r="J35" s="701"/>
      <c r="K35" s="708"/>
      <c r="L35" s="708"/>
      <c r="M35" s="708"/>
      <c r="N35" s="708"/>
      <c r="O35" s="703"/>
      <c r="P35" s="708"/>
      <c r="Q35" s="708"/>
      <c r="R35" s="708"/>
      <c r="S35" s="708"/>
      <c r="T35" s="708"/>
      <c r="U35" s="703"/>
      <c r="V35" s="701"/>
      <c r="W35" s="708"/>
      <c r="X35" s="708"/>
      <c r="Y35" s="708"/>
      <c r="Z35" s="708"/>
      <c r="AA35" s="703"/>
      <c r="AB35" s="701"/>
      <c r="AC35" s="708"/>
      <c r="AD35" s="708"/>
      <c r="AE35" s="708"/>
      <c r="AF35" s="708"/>
      <c r="AG35" s="703"/>
      <c r="AH35" s="701"/>
      <c r="AI35" s="708"/>
      <c r="AJ35" s="708"/>
      <c r="AK35" s="708"/>
      <c r="AL35" s="708"/>
      <c r="AM35" s="703"/>
      <c r="AN35" s="332"/>
      <c r="AO35" s="727"/>
      <c r="AP35" s="702"/>
      <c r="AQ35" s="702"/>
      <c r="AR35" s="702"/>
      <c r="AS35" s="702"/>
      <c r="AT35" s="728"/>
      <c r="AU35" s="332"/>
      <c r="AV35" s="332"/>
      <c r="AW35" s="332"/>
      <c r="AX35" s="332"/>
      <c r="AY35" s="332"/>
      <c r="AZ35" s="332"/>
      <c r="BA35" s="332"/>
      <c r="BB35" s="332"/>
      <c r="BC35" s="332"/>
      <c r="BD35" s="332"/>
      <c r="BE35" s="332"/>
      <c r="BF35" s="332"/>
      <c r="BG35" s="332"/>
      <c r="BH35" s="332"/>
      <c r="BI35" s="332"/>
    </row>
    <row r="36" spans="1:61" ht="15.75" customHeight="1" x14ac:dyDescent="0.25">
      <c r="A36" s="332"/>
      <c r="B36" s="708"/>
      <c r="C36" s="702"/>
      <c r="D36" s="703"/>
      <c r="E36" s="701"/>
      <c r="F36" s="702"/>
      <c r="G36" s="702"/>
      <c r="H36" s="702"/>
      <c r="I36" s="702"/>
      <c r="J36" s="712" t="s">
        <v>18</v>
      </c>
      <c r="K36" s="708"/>
      <c r="L36" s="713" t="s">
        <v>18</v>
      </c>
      <c r="M36" s="708"/>
      <c r="N36" s="713" t="s">
        <v>18</v>
      </c>
      <c r="O36" s="703"/>
      <c r="P36" s="715" t="s">
        <v>18</v>
      </c>
      <c r="Q36" s="708"/>
      <c r="R36" s="715" t="s">
        <v>18</v>
      </c>
      <c r="S36" s="708"/>
      <c r="T36" s="715" t="s">
        <v>18</v>
      </c>
      <c r="U36" s="703"/>
      <c r="V36" s="714" t="s">
        <v>18</v>
      </c>
      <c r="W36" s="708"/>
      <c r="X36" s="715" t="s">
        <v>18</v>
      </c>
      <c r="Y36" s="708"/>
      <c r="Z36" s="715" t="s">
        <v>18</v>
      </c>
      <c r="AA36" s="703"/>
      <c r="AB36" s="707" t="s">
        <v>18</v>
      </c>
      <c r="AC36" s="708"/>
      <c r="AD36" s="709" t="s">
        <v>18</v>
      </c>
      <c r="AE36" s="708"/>
      <c r="AF36" s="709" t="s">
        <v>18</v>
      </c>
      <c r="AG36" s="703"/>
      <c r="AH36" s="710" t="s">
        <v>18</v>
      </c>
      <c r="AI36" s="708"/>
      <c r="AJ36" s="711" t="s">
        <v>18</v>
      </c>
      <c r="AK36" s="708"/>
      <c r="AL36" s="711" t="s">
        <v>18</v>
      </c>
      <c r="AM36" s="703"/>
      <c r="AN36" s="332"/>
      <c r="AO36" s="727"/>
      <c r="AP36" s="702"/>
      <c r="AQ36" s="702"/>
      <c r="AR36" s="702"/>
      <c r="AS36" s="702"/>
      <c r="AT36" s="728"/>
      <c r="AU36" s="332"/>
      <c r="AV36" s="332"/>
      <c r="AW36" s="332"/>
      <c r="AX36" s="332"/>
      <c r="AY36" s="332"/>
      <c r="AZ36" s="332"/>
      <c r="BA36" s="332"/>
      <c r="BB36" s="332"/>
      <c r="BC36" s="332"/>
      <c r="BD36" s="332"/>
      <c r="BE36" s="332"/>
      <c r="BF36" s="332"/>
      <c r="BG36" s="332"/>
      <c r="BH36" s="332"/>
      <c r="BI36" s="332"/>
    </row>
    <row r="37" spans="1:61" ht="15.75" customHeight="1" thickBot="1" x14ac:dyDescent="0.3">
      <c r="A37" s="332"/>
      <c r="B37" s="708"/>
      <c r="C37" s="702"/>
      <c r="D37" s="703"/>
      <c r="E37" s="704"/>
      <c r="F37" s="705"/>
      <c r="G37" s="705"/>
      <c r="H37" s="705"/>
      <c r="I37" s="705"/>
      <c r="J37" s="704"/>
      <c r="K37" s="705"/>
      <c r="L37" s="705"/>
      <c r="M37" s="705"/>
      <c r="N37" s="705"/>
      <c r="O37" s="706"/>
      <c r="P37" s="705"/>
      <c r="Q37" s="705"/>
      <c r="R37" s="705"/>
      <c r="S37" s="705"/>
      <c r="T37" s="705"/>
      <c r="U37" s="706"/>
      <c r="V37" s="704"/>
      <c r="W37" s="705"/>
      <c r="X37" s="705"/>
      <c r="Y37" s="705"/>
      <c r="Z37" s="705"/>
      <c r="AA37" s="706"/>
      <c r="AB37" s="704"/>
      <c r="AC37" s="705"/>
      <c r="AD37" s="705"/>
      <c r="AE37" s="705"/>
      <c r="AF37" s="705"/>
      <c r="AG37" s="706"/>
      <c r="AH37" s="704"/>
      <c r="AI37" s="705"/>
      <c r="AJ37" s="705"/>
      <c r="AK37" s="705"/>
      <c r="AL37" s="705"/>
      <c r="AM37" s="706"/>
      <c r="AN37" s="332"/>
      <c r="AO37" s="729"/>
      <c r="AP37" s="730"/>
      <c r="AQ37" s="730"/>
      <c r="AR37" s="730"/>
      <c r="AS37" s="730"/>
      <c r="AT37" s="731"/>
      <c r="AU37" s="332"/>
      <c r="AV37" s="332"/>
      <c r="AW37" s="332"/>
      <c r="AX37" s="332"/>
      <c r="AY37" s="332"/>
      <c r="AZ37" s="332"/>
      <c r="BA37" s="332"/>
      <c r="BB37" s="332"/>
      <c r="BC37" s="332"/>
      <c r="BD37" s="332"/>
      <c r="BE37" s="332"/>
      <c r="BF37" s="332"/>
      <c r="BG37" s="332"/>
      <c r="BH37" s="332"/>
      <c r="BI37" s="332"/>
    </row>
    <row r="38" spans="1:61" ht="15.75" customHeight="1" x14ac:dyDescent="0.25">
      <c r="A38" s="332"/>
      <c r="B38" s="708"/>
      <c r="C38" s="702"/>
      <c r="D38" s="703"/>
      <c r="E38" s="698" t="s">
        <v>11</v>
      </c>
      <c r="F38" s="699"/>
      <c r="G38" s="699"/>
      <c r="H38" s="699"/>
      <c r="I38" s="700"/>
      <c r="J38" s="721" t="str" cm="1">
        <f t="array" ref="J38">IF(AND('Matriz riesgos de gestión'!M46:M51="Muy Alta",'Matriz riesgos de gestión'!Q46:Q51="Leve"),CONCATENATE("R",'Matriz riesgos de gestión'!$A$4),"")</f>
        <v/>
      </c>
      <c r="K38" s="699"/>
      <c r="L38" s="722" t="s">
        <v>18</v>
      </c>
      <c r="M38" s="699"/>
      <c r="N38" s="722" t="s">
        <v>18</v>
      </c>
      <c r="O38" s="700"/>
      <c r="P38" s="721" t="s">
        <v>18</v>
      </c>
      <c r="Q38" s="699"/>
      <c r="R38" s="722" t="s">
        <v>18</v>
      </c>
      <c r="S38" s="699"/>
      <c r="T38" s="722" t="s">
        <v>18</v>
      </c>
      <c r="U38" s="700"/>
      <c r="V38" s="717" t="s">
        <v>18</v>
      </c>
      <c r="W38" s="699"/>
      <c r="X38" s="718" t="s">
        <v>18</v>
      </c>
      <c r="Y38" s="699"/>
      <c r="Z38" s="718" t="s">
        <v>18</v>
      </c>
      <c r="AA38" s="700"/>
      <c r="AB38" s="719" t="s">
        <v>18</v>
      </c>
      <c r="AC38" s="699"/>
      <c r="AD38" s="720" t="s">
        <v>18</v>
      </c>
      <c r="AE38" s="699"/>
      <c r="AF38" s="720" t="s">
        <v>18</v>
      </c>
      <c r="AG38" s="700"/>
      <c r="AH38" s="723" t="s">
        <v>18</v>
      </c>
      <c r="AI38" s="699"/>
      <c r="AJ38" s="716" t="s">
        <v>18</v>
      </c>
      <c r="AK38" s="699"/>
      <c r="AL38" s="716" t="s">
        <v>18</v>
      </c>
      <c r="AM38" s="700"/>
      <c r="AN38" s="332"/>
      <c r="AO38" s="332"/>
      <c r="AP38" s="332"/>
      <c r="AQ38" s="332"/>
      <c r="AR38" s="332"/>
      <c r="AS38" s="332"/>
      <c r="AT38" s="332"/>
      <c r="AU38" s="332"/>
      <c r="AV38" s="332"/>
      <c r="AW38" s="332"/>
      <c r="AX38" s="332"/>
      <c r="AY38" s="332"/>
      <c r="AZ38" s="332"/>
      <c r="BA38" s="332"/>
      <c r="BB38" s="332"/>
      <c r="BC38" s="332"/>
      <c r="BD38" s="332"/>
      <c r="BE38" s="332"/>
      <c r="BF38" s="332"/>
      <c r="BG38" s="332"/>
      <c r="BH38" s="332"/>
      <c r="BI38" s="332"/>
    </row>
    <row r="39" spans="1:61" ht="27" customHeight="1" x14ac:dyDescent="0.25">
      <c r="A39" s="332"/>
      <c r="B39" s="708"/>
      <c r="C39" s="702"/>
      <c r="D39" s="703"/>
      <c r="E39" s="701"/>
      <c r="F39" s="702"/>
      <c r="G39" s="702"/>
      <c r="H39" s="702"/>
      <c r="I39" s="703"/>
      <c r="J39" s="701"/>
      <c r="K39" s="708"/>
      <c r="L39" s="708"/>
      <c r="M39" s="708"/>
      <c r="N39" s="708"/>
      <c r="O39" s="703"/>
      <c r="P39" s="701"/>
      <c r="Q39" s="708"/>
      <c r="R39" s="708"/>
      <c r="S39" s="708"/>
      <c r="T39" s="708"/>
      <c r="U39" s="703"/>
      <c r="V39" s="701"/>
      <c r="W39" s="708"/>
      <c r="X39" s="708"/>
      <c r="Y39" s="708"/>
      <c r="Z39" s="708"/>
      <c r="AA39" s="703"/>
      <c r="AB39" s="701"/>
      <c r="AC39" s="708"/>
      <c r="AD39" s="708"/>
      <c r="AE39" s="708"/>
      <c r="AF39" s="708"/>
      <c r="AG39" s="703"/>
      <c r="AH39" s="701"/>
      <c r="AI39" s="708"/>
      <c r="AJ39" s="708"/>
      <c r="AK39" s="708"/>
      <c r="AL39" s="708"/>
      <c r="AM39" s="703"/>
      <c r="AN39" s="332"/>
      <c r="AO39" s="332"/>
      <c r="AP39" s="332"/>
      <c r="AQ39" s="332"/>
      <c r="AR39" s="332"/>
      <c r="AS39" s="332"/>
      <c r="AT39" s="332"/>
      <c r="AU39" s="332"/>
      <c r="AV39" s="332"/>
      <c r="AW39" s="332"/>
      <c r="AX39" s="332"/>
      <c r="AY39" s="332"/>
      <c r="AZ39" s="332"/>
      <c r="BA39" s="332"/>
      <c r="BB39" s="332"/>
      <c r="BC39" s="332"/>
      <c r="BD39" s="332"/>
      <c r="BE39" s="332"/>
      <c r="BF39" s="332"/>
      <c r="BG39" s="332"/>
      <c r="BH39" s="332"/>
      <c r="BI39" s="332"/>
    </row>
    <row r="40" spans="1:61" ht="15.75" customHeight="1" x14ac:dyDescent="0.25">
      <c r="A40" s="332"/>
      <c r="B40" s="708"/>
      <c r="C40" s="702"/>
      <c r="D40" s="703"/>
      <c r="E40" s="701"/>
      <c r="F40" s="702"/>
      <c r="G40" s="702"/>
      <c r="H40" s="702"/>
      <c r="I40" s="703"/>
      <c r="J40" s="712" t="s">
        <v>18</v>
      </c>
      <c r="K40" s="708"/>
      <c r="L40" s="713" t="s">
        <v>18</v>
      </c>
      <c r="M40" s="708"/>
      <c r="N40" s="713" t="s">
        <v>18</v>
      </c>
      <c r="O40" s="703"/>
      <c r="P40" s="712" t="s">
        <v>18</v>
      </c>
      <c r="Q40" s="708"/>
      <c r="R40" s="713" t="s">
        <v>18</v>
      </c>
      <c r="S40" s="708"/>
      <c r="T40" s="713" t="s">
        <v>18</v>
      </c>
      <c r="U40" s="703"/>
      <c r="V40" s="714" t="s">
        <v>18</v>
      </c>
      <c r="W40" s="708"/>
      <c r="X40" s="715" t="s">
        <v>18</v>
      </c>
      <c r="Y40" s="708"/>
      <c r="Z40" s="715" t="s">
        <v>18</v>
      </c>
      <c r="AA40" s="703"/>
      <c r="AB40" s="707" t="s">
        <v>18</v>
      </c>
      <c r="AC40" s="708"/>
      <c r="AD40" s="709" t="s">
        <v>18</v>
      </c>
      <c r="AE40" s="708"/>
      <c r="AF40" s="709" t="s">
        <v>18</v>
      </c>
      <c r="AG40" s="703"/>
      <c r="AH40" s="710" t="s">
        <v>18</v>
      </c>
      <c r="AI40" s="708"/>
      <c r="AJ40" s="711" t="s">
        <v>18</v>
      </c>
      <c r="AK40" s="708"/>
      <c r="AL40" s="711" t="s">
        <v>18</v>
      </c>
      <c r="AM40" s="703"/>
      <c r="AN40" s="332"/>
      <c r="AO40" s="332"/>
      <c r="AP40" s="332"/>
      <c r="AQ40" s="332"/>
      <c r="AR40" s="332"/>
      <c r="AS40" s="332"/>
      <c r="AT40" s="332"/>
      <c r="AU40" s="332"/>
      <c r="AV40" s="332"/>
      <c r="AW40" s="332"/>
      <c r="AX40" s="332"/>
      <c r="AY40" s="332"/>
      <c r="AZ40" s="332"/>
      <c r="BA40" s="332"/>
      <c r="BB40" s="332"/>
      <c r="BC40" s="332"/>
      <c r="BD40" s="332"/>
      <c r="BE40" s="332"/>
      <c r="BF40" s="332"/>
      <c r="BG40" s="332"/>
      <c r="BH40" s="332"/>
      <c r="BI40" s="332"/>
    </row>
    <row r="41" spans="1:61" ht="15.75" customHeight="1" x14ac:dyDescent="0.25">
      <c r="A41" s="332"/>
      <c r="B41" s="708"/>
      <c r="C41" s="702"/>
      <c r="D41" s="703"/>
      <c r="E41" s="701"/>
      <c r="F41" s="702"/>
      <c r="G41" s="702"/>
      <c r="H41" s="702"/>
      <c r="I41" s="703"/>
      <c r="J41" s="701"/>
      <c r="K41" s="708"/>
      <c r="L41" s="708"/>
      <c r="M41" s="708"/>
      <c r="N41" s="708"/>
      <c r="O41" s="703"/>
      <c r="P41" s="701"/>
      <c r="Q41" s="708"/>
      <c r="R41" s="708"/>
      <c r="S41" s="708"/>
      <c r="T41" s="708"/>
      <c r="U41" s="703"/>
      <c r="V41" s="701"/>
      <c r="W41" s="708"/>
      <c r="X41" s="708"/>
      <c r="Y41" s="708"/>
      <c r="Z41" s="708"/>
      <c r="AA41" s="703"/>
      <c r="AB41" s="701"/>
      <c r="AC41" s="708"/>
      <c r="AD41" s="708"/>
      <c r="AE41" s="708"/>
      <c r="AF41" s="708"/>
      <c r="AG41" s="703"/>
      <c r="AH41" s="701"/>
      <c r="AI41" s="708"/>
      <c r="AJ41" s="708"/>
      <c r="AK41" s="708"/>
      <c r="AL41" s="708"/>
      <c r="AM41" s="703"/>
      <c r="AN41" s="332"/>
      <c r="AO41" s="332"/>
      <c r="AP41" s="332"/>
      <c r="AQ41" s="332"/>
      <c r="AR41" s="332"/>
      <c r="AS41" s="332"/>
      <c r="AT41" s="332"/>
      <c r="AU41" s="332"/>
      <c r="AV41" s="332"/>
      <c r="AW41" s="332"/>
      <c r="AX41" s="332"/>
      <c r="AY41" s="332"/>
      <c r="AZ41" s="332"/>
      <c r="BA41" s="332"/>
      <c r="BB41" s="332"/>
      <c r="BC41" s="332"/>
      <c r="BD41" s="332"/>
      <c r="BE41" s="332"/>
      <c r="BF41" s="332"/>
      <c r="BG41" s="332"/>
      <c r="BH41" s="332"/>
      <c r="BI41" s="332"/>
    </row>
    <row r="42" spans="1:61" ht="15.75" customHeight="1" x14ac:dyDescent="0.25">
      <c r="A42" s="332"/>
      <c r="B42" s="708"/>
      <c r="C42" s="702"/>
      <c r="D42" s="703"/>
      <c r="E42" s="701"/>
      <c r="F42" s="702"/>
      <c r="G42" s="702"/>
      <c r="H42" s="702"/>
      <c r="I42" s="703"/>
      <c r="J42" s="712" t="s">
        <v>18</v>
      </c>
      <c r="K42" s="708"/>
      <c r="L42" s="713" t="s">
        <v>18</v>
      </c>
      <c r="M42" s="708"/>
      <c r="N42" s="713" t="s">
        <v>18</v>
      </c>
      <c r="O42" s="703"/>
      <c r="P42" s="712" t="s">
        <v>18</v>
      </c>
      <c r="Q42" s="708"/>
      <c r="R42" s="713" t="s">
        <v>18</v>
      </c>
      <c r="S42" s="708"/>
      <c r="T42" s="713" t="s">
        <v>18</v>
      </c>
      <c r="U42" s="703"/>
      <c r="V42" s="714" t="s">
        <v>18</v>
      </c>
      <c r="W42" s="708"/>
      <c r="X42" s="715" t="s">
        <v>18</v>
      </c>
      <c r="Y42" s="708"/>
      <c r="Z42" s="715" t="s">
        <v>18</v>
      </c>
      <c r="AA42" s="703"/>
      <c r="AB42" s="707" t="s">
        <v>18</v>
      </c>
      <c r="AC42" s="708"/>
      <c r="AD42" s="709" t="s">
        <v>18</v>
      </c>
      <c r="AE42" s="708"/>
      <c r="AF42" s="709" t="s">
        <v>18</v>
      </c>
      <c r="AG42" s="703"/>
      <c r="AH42" s="710" t="s">
        <v>18</v>
      </c>
      <c r="AI42" s="708"/>
      <c r="AJ42" s="711" t="s">
        <v>18</v>
      </c>
      <c r="AK42" s="708"/>
      <c r="AL42" s="711" t="s">
        <v>18</v>
      </c>
      <c r="AM42" s="703"/>
      <c r="AN42" s="332"/>
      <c r="AO42" s="332"/>
      <c r="AP42" s="332"/>
      <c r="AQ42" s="332"/>
      <c r="AR42" s="332"/>
      <c r="AS42" s="332"/>
      <c r="AT42" s="332"/>
      <c r="AU42" s="332"/>
      <c r="AV42" s="332"/>
      <c r="AW42" s="332"/>
      <c r="AX42" s="332"/>
      <c r="AY42" s="332"/>
      <c r="AZ42" s="332"/>
      <c r="BA42" s="332"/>
      <c r="BB42" s="332"/>
      <c r="BC42" s="332"/>
      <c r="BD42" s="332"/>
      <c r="BE42" s="332"/>
      <c r="BF42" s="332"/>
      <c r="BG42" s="332"/>
      <c r="BH42" s="332"/>
      <c r="BI42" s="332"/>
    </row>
    <row r="43" spans="1:61" ht="15.75" customHeight="1" x14ac:dyDescent="0.25">
      <c r="A43" s="332"/>
      <c r="B43" s="708"/>
      <c r="C43" s="702"/>
      <c r="D43" s="703"/>
      <c r="E43" s="701"/>
      <c r="F43" s="702"/>
      <c r="G43" s="702"/>
      <c r="H43" s="702"/>
      <c r="I43" s="703"/>
      <c r="J43" s="701"/>
      <c r="K43" s="708"/>
      <c r="L43" s="708"/>
      <c r="M43" s="708"/>
      <c r="N43" s="708"/>
      <c r="O43" s="703"/>
      <c r="P43" s="701"/>
      <c r="Q43" s="708"/>
      <c r="R43" s="708"/>
      <c r="S43" s="708"/>
      <c r="T43" s="708"/>
      <c r="U43" s="703"/>
      <c r="V43" s="701"/>
      <c r="W43" s="708"/>
      <c r="X43" s="708"/>
      <c r="Y43" s="708"/>
      <c r="Z43" s="708"/>
      <c r="AA43" s="703"/>
      <c r="AB43" s="701"/>
      <c r="AC43" s="708"/>
      <c r="AD43" s="708"/>
      <c r="AE43" s="708"/>
      <c r="AF43" s="708"/>
      <c r="AG43" s="703"/>
      <c r="AH43" s="701"/>
      <c r="AI43" s="708"/>
      <c r="AJ43" s="708"/>
      <c r="AK43" s="708"/>
      <c r="AL43" s="708"/>
      <c r="AM43" s="703"/>
      <c r="AN43" s="332"/>
      <c r="AO43" s="332"/>
      <c r="AP43" s="332"/>
      <c r="AQ43" s="332"/>
      <c r="AR43" s="332"/>
      <c r="AS43" s="332"/>
      <c r="AT43" s="332"/>
      <c r="AU43" s="332"/>
      <c r="AV43" s="332"/>
      <c r="AW43" s="332"/>
      <c r="AX43" s="332"/>
      <c r="AY43" s="332"/>
      <c r="AZ43" s="332"/>
      <c r="BA43" s="332"/>
      <c r="BB43" s="332"/>
      <c r="BC43" s="332"/>
      <c r="BD43" s="332"/>
      <c r="BE43" s="332"/>
      <c r="BF43" s="332"/>
      <c r="BG43" s="332"/>
      <c r="BH43" s="332"/>
      <c r="BI43" s="332"/>
    </row>
    <row r="44" spans="1:61" ht="15.75" customHeight="1" x14ac:dyDescent="0.25">
      <c r="A44" s="332"/>
      <c r="B44" s="708"/>
      <c r="C44" s="702"/>
      <c r="D44" s="703"/>
      <c r="E44" s="701"/>
      <c r="F44" s="702"/>
      <c r="G44" s="702"/>
      <c r="H44" s="702"/>
      <c r="I44" s="703"/>
      <c r="J44" s="712" t="s">
        <v>18</v>
      </c>
      <c r="K44" s="708"/>
      <c r="L44" s="713" t="s">
        <v>18</v>
      </c>
      <c r="M44" s="708"/>
      <c r="N44" s="713" t="s">
        <v>18</v>
      </c>
      <c r="O44" s="703"/>
      <c r="P44" s="712" t="s">
        <v>18</v>
      </c>
      <c r="Q44" s="708"/>
      <c r="R44" s="713" t="s">
        <v>18</v>
      </c>
      <c r="S44" s="708"/>
      <c r="T44" s="713" t="s">
        <v>18</v>
      </c>
      <c r="U44" s="703"/>
      <c r="V44" s="714" t="s">
        <v>18</v>
      </c>
      <c r="W44" s="708"/>
      <c r="X44" s="715" t="s">
        <v>18</v>
      </c>
      <c r="Y44" s="708"/>
      <c r="Z44" s="715" t="s">
        <v>18</v>
      </c>
      <c r="AA44" s="703"/>
      <c r="AB44" s="707" t="s">
        <v>18</v>
      </c>
      <c r="AC44" s="708"/>
      <c r="AD44" s="709" t="s">
        <v>18</v>
      </c>
      <c r="AE44" s="708"/>
      <c r="AF44" s="709" t="s">
        <v>18</v>
      </c>
      <c r="AG44" s="703"/>
      <c r="AH44" s="710" t="s">
        <v>18</v>
      </c>
      <c r="AI44" s="708"/>
      <c r="AJ44" s="711" t="s">
        <v>18</v>
      </c>
      <c r="AK44" s="708"/>
      <c r="AL44" s="711" t="s">
        <v>18</v>
      </c>
      <c r="AM44" s="703"/>
      <c r="AN44" s="332"/>
      <c r="AO44" s="332"/>
      <c r="AP44" s="332"/>
      <c r="AQ44" s="332"/>
      <c r="AR44" s="332"/>
      <c r="AS44" s="332"/>
      <c r="AT44" s="332"/>
      <c r="AU44" s="332"/>
      <c r="AV44" s="332"/>
      <c r="AW44" s="332"/>
      <c r="AX44" s="332"/>
      <c r="AY44" s="332"/>
      <c r="AZ44" s="332"/>
      <c r="BA44" s="332"/>
      <c r="BB44" s="332"/>
      <c r="BC44" s="332"/>
      <c r="BD44" s="332"/>
      <c r="BE44" s="332"/>
      <c r="BF44" s="332"/>
      <c r="BG44" s="332"/>
      <c r="BH44" s="332"/>
      <c r="BI44" s="332"/>
    </row>
    <row r="45" spans="1:61" ht="15.75" customHeight="1" thickBot="1" x14ac:dyDescent="0.3">
      <c r="A45" s="332"/>
      <c r="B45" s="708"/>
      <c r="C45" s="708"/>
      <c r="D45" s="703"/>
      <c r="E45" s="704"/>
      <c r="F45" s="705"/>
      <c r="G45" s="705"/>
      <c r="H45" s="705"/>
      <c r="I45" s="706"/>
      <c r="J45" s="704"/>
      <c r="K45" s="705"/>
      <c r="L45" s="705"/>
      <c r="M45" s="705"/>
      <c r="N45" s="705"/>
      <c r="O45" s="706"/>
      <c r="P45" s="704"/>
      <c r="Q45" s="705"/>
      <c r="R45" s="705"/>
      <c r="S45" s="705"/>
      <c r="T45" s="705"/>
      <c r="U45" s="706"/>
      <c r="V45" s="704"/>
      <c r="W45" s="705"/>
      <c r="X45" s="705"/>
      <c r="Y45" s="705"/>
      <c r="Z45" s="705"/>
      <c r="AA45" s="706"/>
      <c r="AB45" s="704"/>
      <c r="AC45" s="705"/>
      <c r="AD45" s="705"/>
      <c r="AE45" s="705"/>
      <c r="AF45" s="705"/>
      <c r="AG45" s="706"/>
      <c r="AH45" s="704"/>
      <c r="AI45" s="705"/>
      <c r="AJ45" s="705"/>
      <c r="AK45" s="705"/>
      <c r="AL45" s="705"/>
      <c r="AM45" s="706"/>
      <c r="AN45" s="332"/>
      <c r="AO45" s="332"/>
      <c r="AP45" s="332"/>
      <c r="AQ45" s="332"/>
      <c r="AR45" s="332"/>
      <c r="AS45" s="332"/>
      <c r="AT45" s="332"/>
      <c r="AU45" s="332"/>
      <c r="AV45" s="332"/>
      <c r="AW45" s="332"/>
      <c r="AX45" s="332"/>
      <c r="AY45" s="332"/>
      <c r="AZ45" s="332"/>
      <c r="BA45" s="332"/>
      <c r="BB45" s="332"/>
      <c r="BC45" s="332"/>
      <c r="BD45" s="332"/>
      <c r="BE45" s="332"/>
      <c r="BF45" s="332"/>
      <c r="BG45" s="332"/>
      <c r="BH45" s="332"/>
      <c r="BI45" s="332"/>
    </row>
    <row r="46" spans="1:61" ht="15.75" customHeight="1" x14ac:dyDescent="0.25">
      <c r="A46" s="332"/>
      <c r="B46" s="332"/>
      <c r="C46" s="332"/>
      <c r="D46" s="332"/>
      <c r="E46" s="332"/>
      <c r="F46" s="332"/>
      <c r="G46" s="332"/>
      <c r="H46" s="332"/>
      <c r="I46" s="332"/>
      <c r="J46" s="698" t="s">
        <v>12</v>
      </c>
      <c r="K46" s="699"/>
      <c r="L46" s="699"/>
      <c r="M46" s="699"/>
      <c r="N46" s="699"/>
      <c r="O46" s="700"/>
      <c r="P46" s="698" t="s">
        <v>13</v>
      </c>
      <c r="Q46" s="699"/>
      <c r="R46" s="699"/>
      <c r="S46" s="699"/>
      <c r="T46" s="699"/>
      <c r="U46" s="700"/>
      <c r="V46" s="698" t="s">
        <v>14</v>
      </c>
      <c r="W46" s="699"/>
      <c r="X46" s="699"/>
      <c r="Y46" s="699"/>
      <c r="Z46" s="699"/>
      <c r="AA46" s="700"/>
      <c r="AB46" s="698" t="s">
        <v>15</v>
      </c>
      <c r="AC46" s="699"/>
      <c r="AD46" s="699"/>
      <c r="AE46" s="699"/>
      <c r="AF46" s="699"/>
      <c r="AG46" s="700"/>
      <c r="AH46" s="698" t="s">
        <v>16</v>
      </c>
      <c r="AI46" s="699"/>
      <c r="AJ46" s="699"/>
      <c r="AK46" s="699"/>
      <c r="AL46" s="699"/>
      <c r="AM46" s="700"/>
      <c r="AN46" s="332"/>
      <c r="AO46" s="332"/>
      <c r="AP46" s="332"/>
      <c r="AQ46" s="332"/>
      <c r="AR46" s="332"/>
      <c r="AS46" s="332"/>
      <c r="AT46" s="332"/>
      <c r="AU46" s="332"/>
      <c r="AV46" s="332"/>
      <c r="AW46" s="332"/>
      <c r="AX46" s="332"/>
      <c r="AY46" s="332"/>
      <c r="AZ46" s="332"/>
      <c r="BA46" s="332"/>
      <c r="BB46" s="332"/>
      <c r="BC46" s="332"/>
      <c r="BD46" s="332"/>
      <c r="BE46" s="332"/>
      <c r="BF46" s="332"/>
      <c r="BG46" s="332"/>
      <c r="BH46" s="332"/>
      <c r="BI46" s="332"/>
    </row>
    <row r="47" spans="1:61" ht="15.75" customHeight="1" x14ac:dyDescent="0.25">
      <c r="A47" s="332"/>
      <c r="B47" s="332"/>
      <c r="C47" s="332"/>
      <c r="D47" s="332"/>
      <c r="E47" s="332"/>
      <c r="F47" s="332"/>
      <c r="G47" s="332"/>
      <c r="H47" s="332"/>
      <c r="I47" s="332"/>
      <c r="J47" s="701"/>
      <c r="K47" s="702"/>
      <c r="L47" s="702"/>
      <c r="M47" s="702"/>
      <c r="N47" s="702"/>
      <c r="O47" s="703"/>
      <c r="P47" s="701"/>
      <c r="Q47" s="702"/>
      <c r="R47" s="702"/>
      <c r="S47" s="702"/>
      <c r="T47" s="702"/>
      <c r="U47" s="703"/>
      <c r="V47" s="701"/>
      <c r="W47" s="702"/>
      <c r="X47" s="702"/>
      <c r="Y47" s="702"/>
      <c r="Z47" s="702"/>
      <c r="AA47" s="703"/>
      <c r="AB47" s="701"/>
      <c r="AC47" s="702"/>
      <c r="AD47" s="702"/>
      <c r="AE47" s="702"/>
      <c r="AF47" s="702"/>
      <c r="AG47" s="703"/>
      <c r="AH47" s="701"/>
      <c r="AI47" s="702"/>
      <c r="AJ47" s="702"/>
      <c r="AK47" s="702"/>
      <c r="AL47" s="702"/>
      <c r="AM47" s="703"/>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row>
    <row r="48" spans="1:61" ht="15.75" customHeight="1" x14ac:dyDescent="0.25">
      <c r="A48" s="332"/>
      <c r="B48" s="332"/>
      <c r="C48" s="332"/>
      <c r="D48" s="332"/>
      <c r="E48" s="332"/>
      <c r="F48" s="332"/>
      <c r="G48" s="332"/>
      <c r="H48" s="332"/>
      <c r="I48" s="332"/>
      <c r="J48" s="701"/>
      <c r="K48" s="702"/>
      <c r="L48" s="702"/>
      <c r="M48" s="702"/>
      <c r="N48" s="702"/>
      <c r="O48" s="703"/>
      <c r="P48" s="701"/>
      <c r="Q48" s="702"/>
      <c r="R48" s="702"/>
      <c r="S48" s="702"/>
      <c r="T48" s="702"/>
      <c r="U48" s="703"/>
      <c r="V48" s="701"/>
      <c r="W48" s="702"/>
      <c r="X48" s="702"/>
      <c r="Y48" s="702"/>
      <c r="Z48" s="702"/>
      <c r="AA48" s="703"/>
      <c r="AB48" s="701"/>
      <c r="AC48" s="702"/>
      <c r="AD48" s="702"/>
      <c r="AE48" s="702"/>
      <c r="AF48" s="702"/>
      <c r="AG48" s="703"/>
      <c r="AH48" s="701"/>
      <c r="AI48" s="702"/>
      <c r="AJ48" s="702"/>
      <c r="AK48" s="702"/>
      <c r="AL48" s="702"/>
      <c r="AM48" s="703"/>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row>
    <row r="49" spans="1:61" ht="15.75" customHeight="1" x14ac:dyDescent="0.25">
      <c r="A49" s="332"/>
      <c r="B49" s="332"/>
      <c r="C49" s="332"/>
      <c r="D49" s="332"/>
      <c r="E49" s="332"/>
      <c r="F49" s="332"/>
      <c r="G49" s="332"/>
      <c r="H49" s="332"/>
      <c r="I49" s="332"/>
      <c r="J49" s="701"/>
      <c r="K49" s="702"/>
      <c r="L49" s="702"/>
      <c r="M49" s="702"/>
      <c r="N49" s="702"/>
      <c r="O49" s="703"/>
      <c r="P49" s="701"/>
      <c r="Q49" s="702"/>
      <c r="R49" s="702"/>
      <c r="S49" s="702"/>
      <c r="T49" s="702"/>
      <c r="U49" s="703"/>
      <c r="V49" s="701"/>
      <c r="W49" s="702"/>
      <c r="X49" s="702"/>
      <c r="Y49" s="702"/>
      <c r="Z49" s="702"/>
      <c r="AA49" s="703"/>
      <c r="AB49" s="701"/>
      <c r="AC49" s="702"/>
      <c r="AD49" s="702"/>
      <c r="AE49" s="702"/>
      <c r="AF49" s="702"/>
      <c r="AG49" s="703"/>
      <c r="AH49" s="701"/>
      <c r="AI49" s="702"/>
      <c r="AJ49" s="702"/>
      <c r="AK49" s="702"/>
      <c r="AL49" s="702"/>
      <c r="AM49" s="703"/>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row>
    <row r="50" spans="1:61" ht="15.75" customHeight="1" x14ac:dyDescent="0.25">
      <c r="A50" s="332"/>
      <c r="B50" s="332"/>
      <c r="C50" s="332"/>
      <c r="D50" s="332"/>
      <c r="E50" s="332"/>
      <c r="F50" s="332"/>
      <c r="G50" s="332"/>
      <c r="H50" s="332"/>
      <c r="I50" s="332"/>
      <c r="J50" s="701"/>
      <c r="K50" s="702"/>
      <c r="L50" s="702"/>
      <c r="M50" s="702"/>
      <c r="N50" s="702"/>
      <c r="O50" s="703"/>
      <c r="P50" s="701"/>
      <c r="Q50" s="702"/>
      <c r="R50" s="702"/>
      <c r="S50" s="702"/>
      <c r="T50" s="702"/>
      <c r="U50" s="703"/>
      <c r="V50" s="701"/>
      <c r="W50" s="702"/>
      <c r="X50" s="702"/>
      <c r="Y50" s="702"/>
      <c r="Z50" s="702"/>
      <c r="AA50" s="703"/>
      <c r="AB50" s="701"/>
      <c r="AC50" s="702"/>
      <c r="AD50" s="702"/>
      <c r="AE50" s="702"/>
      <c r="AF50" s="702"/>
      <c r="AG50" s="703"/>
      <c r="AH50" s="701"/>
      <c r="AI50" s="702"/>
      <c r="AJ50" s="702"/>
      <c r="AK50" s="702"/>
      <c r="AL50" s="702"/>
      <c r="AM50" s="703"/>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row>
    <row r="51" spans="1:61" ht="15.75" customHeight="1" thickBot="1" x14ac:dyDescent="0.3">
      <c r="A51" s="332"/>
      <c r="B51" s="332"/>
      <c r="C51" s="332"/>
      <c r="D51" s="332"/>
      <c r="E51" s="332"/>
      <c r="F51" s="332"/>
      <c r="G51" s="332"/>
      <c r="H51" s="332"/>
      <c r="I51" s="332"/>
      <c r="J51" s="704"/>
      <c r="K51" s="705"/>
      <c r="L51" s="705"/>
      <c r="M51" s="705"/>
      <c r="N51" s="705"/>
      <c r="O51" s="706"/>
      <c r="P51" s="704"/>
      <c r="Q51" s="705"/>
      <c r="R51" s="705"/>
      <c r="S51" s="705"/>
      <c r="T51" s="705"/>
      <c r="U51" s="706"/>
      <c r="V51" s="704"/>
      <c r="W51" s="705"/>
      <c r="X51" s="705"/>
      <c r="Y51" s="705"/>
      <c r="Z51" s="705"/>
      <c r="AA51" s="706"/>
      <c r="AB51" s="704"/>
      <c r="AC51" s="705"/>
      <c r="AD51" s="705"/>
      <c r="AE51" s="705"/>
      <c r="AF51" s="705"/>
      <c r="AG51" s="706"/>
      <c r="AH51" s="704"/>
      <c r="AI51" s="705"/>
      <c r="AJ51" s="705"/>
      <c r="AK51" s="705"/>
      <c r="AL51" s="705"/>
      <c r="AM51" s="706"/>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row>
    <row r="52" spans="1:61" ht="15.75" customHeight="1" x14ac:dyDescent="0.25">
      <c r="A52" s="332"/>
      <c r="B52" s="332"/>
      <c r="C52" s="332"/>
      <c r="D52" s="332"/>
      <c r="E52" s="332"/>
      <c r="F52" s="332"/>
      <c r="G52" s="332"/>
      <c r="H52" s="332"/>
      <c r="I52" s="332"/>
      <c r="J52" s="332"/>
      <c r="K52" s="332"/>
      <c r="L52" s="332"/>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row>
    <row r="53" spans="1:61" ht="15" customHeight="1" x14ac:dyDescent="0.25">
      <c r="A53" s="332"/>
      <c r="B53" s="333"/>
      <c r="C53" s="333"/>
      <c r="D53" s="333"/>
      <c r="E53" s="333"/>
      <c r="F53" s="333"/>
      <c r="G53" s="333"/>
      <c r="H53" s="333"/>
      <c r="I53" s="333"/>
      <c r="J53" s="333"/>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2"/>
      <c r="AV53" s="332"/>
      <c r="AW53" s="332"/>
      <c r="AX53" s="332"/>
      <c r="AY53" s="332"/>
      <c r="AZ53" s="332"/>
      <c r="BA53" s="332"/>
      <c r="BB53" s="332"/>
      <c r="BC53" s="332"/>
      <c r="BD53" s="332"/>
      <c r="BE53" s="332"/>
      <c r="BF53" s="332"/>
      <c r="BG53" s="332"/>
      <c r="BH53" s="332"/>
      <c r="BI53" s="332"/>
    </row>
    <row r="54" spans="1:61" ht="15" customHeight="1" x14ac:dyDescent="0.25">
      <c r="A54" s="332"/>
      <c r="B54" s="333"/>
      <c r="C54" s="333"/>
      <c r="D54" s="333"/>
      <c r="E54" s="333"/>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2"/>
      <c r="AV54" s="332"/>
      <c r="AW54" s="332"/>
      <c r="AX54" s="332"/>
      <c r="AY54" s="332"/>
      <c r="AZ54" s="332"/>
      <c r="BA54" s="332"/>
      <c r="BB54" s="332"/>
      <c r="BC54" s="332"/>
      <c r="BD54" s="332"/>
      <c r="BE54" s="332"/>
      <c r="BF54" s="332"/>
      <c r="BG54" s="332"/>
      <c r="BH54" s="332"/>
      <c r="BI54" s="332"/>
    </row>
    <row r="55" spans="1:61" ht="15.75" customHeight="1" x14ac:dyDescent="0.25">
      <c r="A55" s="332"/>
      <c r="B55" s="332"/>
      <c r="C55" s="332"/>
      <c r="D55" s="332"/>
      <c r="E55" s="332"/>
      <c r="F55" s="332"/>
      <c r="G55" s="332"/>
      <c r="H55" s="332"/>
      <c r="I55" s="332"/>
      <c r="J55" s="332"/>
      <c r="K55" s="332"/>
      <c r="L55" s="332"/>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row>
    <row r="56" spans="1:61" ht="15.75" customHeight="1" x14ac:dyDescent="0.25">
      <c r="A56" s="332"/>
      <c r="B56" s="332"/>
      <c r="C56" s="332"/>
      <c r="D56" s="332"/>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row>
    <row r="57" spans="1:61" ht="15.75" customHeight="1" x14ac:dyDescent="0.25">
      <c r="A57" s="332"/>
      <c r="B57" s="332"/>
      <c r="C57" s="332"/>
      <c r="D57" s="332"/>
      <c r="E57" s="332"/>
      <c r="F57" s="332"/>
      <c r="G57" s="332"/>
      <c r="H57" s="332"/>
      <c r="I57" s="332"/>
      <c r="J57" s="332"/>
      <c r="K57" s="332"/>
      <c r="L57" s="332"/>
      <c r="M57" s="332"/>
      <c r="N57" s="332"/>
      <c r="O57" s="332"/>
      <c r="P57" s="332"/>
      <c r="Q57" s="332"/>
      <c r="R57" s="332"/>
      <c r="S57" s="332"/>
      <c r="T57" s="332"/>
      <c r="U57" s="332"/>
      <c r="V57" s="332"/>
      <c r="W57" s="332"/>
      <c r="X57" s="332"/>
      <c r="Y57" s="332"/>
      <c r="Z57" s="332"/>
      <c r="AA57" s="332"/>
      <c r="AB57" s="332"/>
      <c r="AC57" s="332"/>
      <c r="AD57" s="332"/>
      <c r="AE57" s="332"/>
      <c r="AF57" s="332"/>
      <c r="AG57" s="332"/>
      <c r="AH57" s="332"/>
      <c r="AI57" s="332"/>
      <c r="AJ57" s="332"/>
      <c r="AK57" s="332"/>
      <c r="AL57" s="332"/>
      <c r="AM57" s="332"/>
      <c r="AN57" s="332"/>
      <c r="AO57" s="332"/>
      <c r="AP57" s="332"/>
      <c r="AQ57" s="332"/>
      <c r="AR57" s="332"/>
      <c r="AS57" s="332"/>
      <c r="AT57" s="332"/>
      <c r="AU57" s="332"/>
      <c r="AV57" s="332"/>
      <c r="AW57" s="332"/>
      <c r="AX57" s="332"/>
      <c r="AY57" s="332"/>
      <c r="AZ57" s="332"/>
      <c r="BA57" s="332"/>
      <c r="BB57" s="332"/>
      <c r="BC57" s="332"/>
      <c r="BD57" s="332"/>
      <c r="BE57" s="332"/>
      <c r="BF57" s="332"/>
      <c r="BG57" s="332"/>
      <c r="BH57" s="332"/>
      <c r="BI57" s="332"/>
    </row>
    <row r="58" spans="1:61" ht="15.75" customHeight="1" x14ac:dyDescent="0.25">
      <c r="A58" s="332"/>
      <c r="B58" s="332"/>
      <c r="C58" s="332"/>
      <c r="D58" s="332"/>
      <c r="E58" s="332"/>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332"/>
      <c r="AM58" s="332"/>
      <c r="AN58" s="332"/>
      <c r="AO58" s="332"/>
      <c r="AP58" s="332"/>
      <c r="AQ58" s="332"/>
      <c r="AR58" s="332"/>
      <c r="AS58" s="332"/>
      <c r="AT58" s="332"/>
      <c r="AU58" s="332"/>
      <c r="AV58" s="332"/>
      <c r="AW58" s="332"/>
      <c r="AX58" s="332"/>
      <c r="AY58" s="332"/>
      <c r="AZ58" s="332"/>
      <c r="BA58" s="332"/>
      <c r="BB58" s="332"/>
      <c r="BC58" s="332"/>
      <c r="BD58" s="332"/>
      <c r="BE58" s="332"/>
      <c r="BF58" s="332"/>
      <c r="BG58" s="332"/>
      <c r="BH58" s="332"/>
      <c r="BI58" s="332"/>
    </row>
    <row r="59" spans="1:61" ht="15.75" customHeight="1" x14ac:dyDescent="0.25">
      <c r="A59" s="332"/>
      <c r="B59" s="332"/>
      <c r="C59" s="332"/>
      <c r="D59" s="332"/>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c r="AH59" s="332"/>
      <c r="AI59" s="332"/>
      <c r="AJ59" s="332"/>
      <c r="AK59" s="332"/>
      <c r="AL59" s="332"/>
      <c r="AM59" s="332"/>
      <c r="AN59" s="332"/>
      <c r="AO59" s="332"/>
      <c r="AP59" s="332"/>
      <c r="AQ59" s="332"/>
      <c r="AR59" s="332"/>
      <c r="AS59" s="332"/>
      <c r="AT59" s="332"/>
      <c r="AU59" s="332"/>
      <c r="AV59" s="332"/>
      <c r="AW59" s="332"/>
      <c r="AX59" s="332"/>
      <c r="AY59" s="332"/>
      <c r="AZ59" s="332"/>
      <c r="BA59" s="332"/>
      <c r="BB59" s="332"/>
      <c r="BC59" s="332"/>
      <c r="BD59" s="332"/>
      <c r="BE59" s="332"/>
      <c r="BF59" s="332"/>
      <c r="BG59" s="332"/>
      <c r="BH59" s="332"/>
      <c r="BI59" s="332"/>
    </row>
    <row r="60" spans="1:61" ht="15.75" customHeight="1" x14ac:dyDescent="0.25">
      <c r="A60" s="332"/>
      <c r="B60" s="332"/>
      <c r="C60" s="332"/>
      <c r="D60" s="332"/>
      <c r="E60" s="332"/>
      <c r="F60" s="332"/>
      <c r="G60" s="332"/>
      <c r="H60" s="332"/>
      <c r="I60" s="332"/>
      <c r="J60" s="332"/>
      <c r="K60" s="332"/>
      <c r="L60" s="332"/>
      <c r="M60" s="332"/>
      <c r="N60" s="332"/>
      <c r="O60" s="332"/>
      <c r="P60" s="332"/>
      <c r="Q60" s="332"/>
      <c r="R60" s="332"/>
      <c r="S60" s="332"/>
      <c r="T60" s="332"/>
      <c r="U60" s="332"/>
      <c r="V60" s="332"/>
      <c r="W60" s="332"/>
      <c r="X60" s="332"/>
      <c r="Y60" s="332"/>
      <c r="Z60" s="332"/>
      <c r="AA60" s="332"/>
      <c r="AB60" s="332"/>
      <c r="AC60" s="332"/>
      <c r="AD60" s="332"/>
      <c r="AE60" s="332"/>
      <c r="AF60" s="332"/>
      <c r="AG60" s="332"/>
      <c r="AH60" s="332"/>
      <c r="AI60" s="332"/>
      <c r="AJ60" s="332"/>
      <c r="AK60" s="332"/>
      <c r="AL60" s="332"/>
      <c r="AM60" s="332"/>
      <c r="AN60" s="332"/>
      <c r="AO60" s="332"/>
      <c r="AP60" s="332"/>
      <c r="AQ60" s="332"/>
      <c r="AR60" s="332"/>
      <c r="AS60" s="332"/>
      <c r="AT60" s="332"/>
      <c r="AU60" s="332"/>
      <c r="AV60" s="332"/>
      <c r="AW60" s="332"/>
      <c r="AX60" s="332"/>
      <c r="AY60" s="332"/>
      <c r="AZ60" s="332"/>
      <c r="BA60" s="332"/>
      <c r="BB60" s="332"/>
      <c r="BC60" s="332"/>
      <c r="BD60" s="332"/>
      <c r="BE60" s="332"/>
      <c r="BF60" s="332"/>
      <c r="BG60" s="332"/>
      <c r="BH60" s="332"/>
      <c r="BI60" s="332"/>
    </row>
    <row r="61" spans="1:61" ht="15.75" customHeight="1" x14ac:dyDescent="0.25">
      <c r="A61" s="332"/>
      <c r="B61" s="332"/>
      <c r="C61" s="332"/>
      <c r="D61" s="332"/>
      <c r="E61" s="332"/>
      <c r="F61" s="332"/>
      <c r="G61" s="332"/>
      <c r="H61" s="332"/>
      <c r="I61" s="332"/>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c r="AH61" s="332"/>
      <c r="AI61" s="332"/>
      <c r="AJ61" s="332"/>
      <c r="AK61" s="332"/>
      <c r="AL61" s="332"/>
      <c r="AM61" s="332"/>
      <c r="AN61" s="332"/>
      <c r="AO61" s="332"/>
      <c r="AP61" s="332"/>
      <c r="AQ61" s="332"/>
      <c r="AR61" s="332"/>
      <c r="AS61" s="332"/>
      <c r="AT61" s="332"/>
      <c r="AU61" s="332"/>
      <c r="AV61" s="332"/>
      <c r="AW61" s="332"/>
      <c r="AX61" s="332"/>
      <c r="AY61" s="332"/>
      <c r="AZ61" s="332"/>
      <c r="BA61" s="332"/>
      <c r="BB61" s="332"/>
      <c r="BC61" s="332"/>
      <c r="BD61" s="332"/>
      <c r="BE61" s="332"/>
      <c r="BF61" s="332"/>
      <c r="BG61" s="332"/>
      <c r="BH61" s="332"/>
      <c r="BI61" s="332"/>
    </row>
    <row r="62" spans="1:61" ht="15.75" customHeight="1" x14ac:dyDescent="0.25">
      <c r="A62" s="332"/>
      <c r="B62" s="332"/>
      <c r="C62" s="332"/>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332"/>
      <c r="AF62" s="332"/>
      <c r="AG62" s="332"/>
      <c r="AH62" s="332"/>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332"/>
      <c r="BI62" s="332"/>
    </row>
    <row r="63" spans="1:61" ht="15.75" customHeight="1" x14ac:dyDescent="0.25">
      <c r="A63" s="332"/>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332"/>
      <c r="AF63" s="332"/>
      <c r="AG63" s="332"/>
      <c r="AH63" s="332"/>
      <c r="AI63" s="332"/>
      <c r="AJ63" s="332"/>
      <c r="AK63" s="332"/>
      <c r="AL63" s="332"/>
      <c r="AM63" s="332"/>
      <c r="AN63" s="332"/>
      <c r="AO63" s="332"/>
      <c r="AP63" s="332"/>
      <c r="AQ63" s="332"/>
      <c r="AR63" s="332"/>
      <c r="AS63" s="332"/>
      <c r="AT63" s="332"/>
      <c r="AU63" s="332"/>
      <c r="AV63" s="332"/>
      <c r="AW63" s="332"/>
      <c r="AX63" s="332"/>
      <c r="AY63" s="332"/>
      <c r="AZ63" s="332"/>
      <c r="BA63" s="332"/>
      <c r="BB63" s="332"/>
      <c r="BC63" s="332"/>
      <c r="BD63" s="332"/>
      <c r="BE63" s="332"/>
      <c r="BF63" s="332"/>
      <c r="BG63" s="332"/>
      <c r="BH63" s="332"/>
      <c r="BI63" s="332"/>
    </row>
    <row r="64" spans="1:61" ht="15.75" customHeight="1" x14ac:dyDescent="0.25">
      <c r="A64" s="332"/>
      <c r="B64" s="332"/>
      <c r="C64" s="332"/>
      <c r="D64" s="332"/>
      <c r="E64" s="332"/>
      <c r="F64" s="332"/>
      <c r="G64" s="332"/>
      <c r="H64" s="332"/>
      <c r="I64" s="332"/>
      <c r="J64" s="332"/>
      <c r="K64" s="332"/>
      <c r="L64" s="332"/>
      <c r="M64" s="332"/>
      <c r="N64" s="332"/>
      <c r="O64" s="332"/>
      <c r="P64" s="332"/>
      <c r="Q64" s="332"/>
      <c r="R64" s="332"/>
      <c r="S64" s="332"/>
      <c r="T64" s="332"/>
      <c r="U64" s="332"/>
      <c r="V64" s="332"/>
      <c r="W64" s="332"/>
      <c r="X64" s="332"/>
      <c r="Y64" s="332"/>
      <c r="Z64" s="332"/>
      <c r="AA64" s="332"/>
      <c r="AB64" s="332"/>
      <c r="AC64" s="332"/>
      <c r="AD64" s="332"/>
      <c r="AE64" s="332"/>
      <c r="AF64" s="332"/>
      <c r="AG64" s="332"/>
      <c r="AH64" s="332"/>
      <c r="AI64" s="332"/>
      <c r="AJ64" s="332"/>
      <c r="AK64" s="332"/>
      <c r="AL64" s="332"/>
      <c r="AM64" s="332"/>
      <c r="AN64" s="332"/>
      <c r="AO64" s="332"/>
      <c r="AP64" s="332"/>
      <c r="AQ64" s="332"/>
      <c r="AR64" s="332"/>
      <c r="AS64" s="332"/>
      <c r="AT64" s="332"/>
      <c r="AU64" s="332"/>
      <c r="AV64" s="332"/>
      <c r="AW64" s="332"/>
      <c r="AX64" s="332"/>
      <c r="AY64" s="332"/>
      <c r="AZ64" s="332"/>
      <c r="BA64" s="332"/>
      <c r="BB64" s="332"/>
      <c r="BC64" s="332"/>
      <c r="BD64" s="332"/>
      <c r="BE64" s="332"/>
      <c r="BF64" s="332"/>
      <c r="BG64" s="332"/>
      <c r="BH64" s="332"/>
      <c r="BI64" s="332"/>
    </row>
    <row r="65" spans="1:61" ht="15.75" customHeight="1" x14ac:dyDescent="0.25">
      <c r="A65" s="332"/>
      <c r="B65" s="332"/>
      <c r="C65" s="332"/>
      <c r="D65" s="332"/>
      <c r="E65" s="332"/>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332"/>
      <c r="AF65" s="332"/>
      <c r="AG65" s="332"/>
      <c r="AH65" s="332"/>
      <c r="AI65" s="332"/>
      <c r="AJ65" s="332"/>
      <c r="AK65" s="332"/>
      <c r="AL65" s="332"/>
      <c r="AM65" s="332"/>
      <c r="AN65" s="332"/>
      <c r="AO65" s="332"/>
      <c r="AP65" s="332"/>
      <c r="AQ65" s="332"/>
      <c r="AR65" s="332"/>
      <c r="AS65" s="332"/>
      <c r="AT65" s="332"/>
      <c r="AU65" s="332"/>
      <c r="AV65" s="332"/>
      <c r="AW65" s="332"/>
      <c r="AX65" s="332"/>
      <c r="AY65" s="332"/>
      <c r="AZ65" s="332"/>
      <c r="BA65" s="332"/>
      <c r="BB65" s="332"/>
      <c r="BC65" s="332"/>
      <c r="BD65" s="332"/>
      <c r="BE65" s="332"/>
      <c r="BF65" s="332"/>
      <c r="BG65" s="332"/>
      <c r="BH65" s="332"/>
      <c r="BI65" s="332"/>
    </row>
    <row r="66" spans="1:61" ht="15.75" customHeight="1" x14ac:dyDescent="0.25">
      <c r="A66" s="332"/>
      <c r="B66" s="332"/>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332"/>
      <c r="AF66" s="332"/>
      <c r="AG66" s="332"/>
      <c r="AH66" s="332"/>
      <c r="AI66" s="332"/>
      <c r="AJ66" s="332"/>
      <c r="AK66" s="332"/>
      <c r="AL66" s="332"/>
      <c r="AM66" s="332"/>
      <c r="AN66" s="332"/>
      <c r="AO66" s="332"/>
      <c r="AP66" s="332"/>
      <c r="AQ66" s="332"/>
      <c r="AR66" s="332"/>
      <c r="AS66" s="332"/>
      <c r="AT66" s="332"/>
      <c r="AU66" s="332"/>
      <c r="AV66" s="332"/>
      <c r="AW66" s="332"/>
      <c r="AX66" s="332"/>
      <c r="AY66" s="332"/>
      <c r="AZ66" s="332"/>
      <c r="BA66" s="332"/>
      <c r="BB66" s="332"/>
      <c r="BC66" s="332"/>
      <c r="BD66" s="332"/>
      <c r="BE66" s="332"/>
      <c r="BF66" s="332"/>
      <c r="BG66" s="332"/>
      <c r="BH66" s="332"/>
      <c r="BI66" s="332"/>
    </row>
    <row r="67" spans="1:61" ht="15.75" customHeight="1" x14ac:dyDescent="0.25">
      <c r="A67" s="332"/>
      <c r="B67" s="332"/>
      <c r="C67" s="332"/>
      <c r="D67" s="332"/>
      <c r="E67" s="332"/>
      <c r="F67" s="332"/>
      <c r="G67" s="332"/>
      <c r="H67" s="332"/>
      <c r="I67" s="332"/>
      <c r="J67" s="332"/>
      <c r="K67" s="332"/>
      <c r="L67" s="332"/>
      <c r="M67" s="332"/>
      <c r="N67" s="332"/>
      <c r="O67" s="332"/>
      <c r="P67" s="332"/>
      <c r="Q67" s="332"/>
      <c r="R67" s="332"/>
      <c r="S67" s="332"/>
      <c r="T67" s="332"/>
      <c r="U67" s="332"/>
      <c r="V67" s="332"/>
      <c r="W67" s="332"/>
      <c r="X67" s="332"/>
      <c r="Y67" s="332"/>
      <c r="Z67" s="332"/>
      <c r="AA67" s="332"/>
      <c r="AB67" s="332"/>
      <c r="AC67" s="332"/>
      <c r="AD67" s="332"/>
      <c r="AE67" s="332"/>
      <c r="AF67" s="332"/>
      <c r="AG67" s="332"/>
      <c r="AH67" s="332"/>
      <c r="AI67" s="332"/>
      <c r="AJ67" s="332"/>
      <c r="AK67" s="332"/>
      <c r="AL67" s="332"/>
      <c r="AM67" s="332"/>
      <c r="AN67" s="332"/>
      <c r="AO67" s="332"/>
      <c r="AP67" s="332"/>
      <c r="AQ67" s="332"/>
      <c r="AR67" s="332"/>
      <c r="AS67" s="332"/>
      <c r="AT67" s="332"/>
      <c r="AU67" s="332"/>
      <c r="AV67" s="332"/>
      <c r="AW67" s="332"/>
      <c r="AX67" s="332"/>
      <c r="AY67" s="332"/>
      <c r="AZ67" s="332"/>
      <c r="BA67" s="332"/>
      <c r="BB67" s="332"/>
      <c r="BC67" s="332"/>
      <c r="BD67" s="332"/>
      <c r="BE67" s="332"/>
      <c r="BF67" s="332"/>
      <c r="BG67" s="332"/>
      <c r="BH67" s="332"/>
      <c r="BI67" s="332"/>
    </row>
    <row r="68" spans="1:61" ht="15.75" customHeight="1" x14ac:dyDescent="0.25">
      <c r="A68" s="332"/>
      <c r="B68" s="332"/>
      <c r="C68" s="332"/>
      <c r="D68" s="332"/>
      <c r="E68" s="332"/>
      <c r="F68" s="332"/>
      <c r="G68" s="332"/>
      <c r="H68" s="332"/>
      <c r="I68" s="332"/>
      <c r="J68" s="332"/>
      <c r="K68" s="332"/>
      <c r="L68" s="332"/>
      <c r="M68" s="332"/>
      <c r="N68" s="332"/>
      <c r="O68" s="332"/>
      <c r="P68" s="332"/>
      <c r="Q68" s="332"/>
      <c r="R68" s="332"/>
      <c r="S68" s="332"/>
      <c r="T68" s="332"/>
      <c r="U68" s="332"/>
      <c r="V68" s="332"/>
      <c r="W68" s="332"/>
      <c r="X68" s="332"/>
      <c r="Y68" s="332"/>
      <c r="Z68" s="332"/>
      <c r="AA68" s="332"/>
      <c r="AB68" s="332"/>
      <c r="AC68" s="332"/>
      <c r="AD68" s="332"/>
      <c r="AE68" s="332"/>
      <c r="AF68" s="332"/>
      <c r="AG68" s="332"/>
      <c r="AH68" s="332"/>
      <c r="AI68" s="332"/>
      <c r="AJ68" s="332"/>
      <c r="AK68" s="332"/>
      <c r="AL68" s="332"/>
      <c r="AM68" s="332"/>
      <c r="AN68" s="332"/>
      <c r="AO68" s="332"/>
      <c r="AP68" s="332"/>
      <c r="AQ68" s="332"/>
      <c r="AR68" s="332"/>
      <c r="AS68" s="332"/>
      <c r="AT68" s="332"/>
      <c r="AU68" s="332"/>
      <c r="AV68" s="332"/>
      <c r="AW68" s="332"/>
      <c r="AX68" s="332"/>
      <c r="AY68" s="332"/>
      <c r="AZ68" s="332"/>
      <c r="BA68" s="332"/>
      <c r="BB68" s="332"/>
      <c r="BC68" s="332"/>
      <c r="BD68" s="332"/>
      <c r="BE68" s="332"/>
      <c r="BF68" s="332"/>
      <c r="BG68" s="332"/>
      <c r="BH68" s="332"/>
      <c r="BI68" s="332"/>
    </row>
    <row r="69" spans="1:61" ht="15.75" customHeight="1" x14ac:dyDescent="0.25">
      <c r="A69" s="332"/>
      <c r="B69" s="332"/>
      <c r="C69" s="332"/>
      <c r="D69" s="332"/>
      <c r="E69" s="332"/>
      <c r="F69" s="332"/>
      <c r="G69" s="332"/>
      <c r="H69" s="332"/>
      <c r="I69" s="332"/>
      <c r="J69" s="332"/>
      <c r="K69" s="332"/>
      <c r="L69" s="332"/>
      <c r="M69" s="332"/>
      <c r="N69" s="332"/>
      <c r="O69" s="332"/>
      <c r="P69" s="332"/>
      <c r="Q69" s="332"/>
      <c r="R69" s="332"/>
      <c r="S69" s="332"/>
      <c r="T69" s="332"/>
      <c r="U69" s="332"/>
      <c r="V69" s="332"/>
      <c r="W69" s="332"/>
      <c r="X69" s="332"/>
      <c r="Y69" s="332"/>
      <c r="Z69" s="332"/>
      <c r="AA69" s="332"/>
      <c r="AB69" s="332"/>
      <c r="AC69" s="332"/>
      <c r="AD69" s="332"/>
      <c r="AE69" s="332"/>
      <c r="AF69" s="332"/>
      <c r="AG69" s="332"/>
      <c r="AH69" s="332"/>
      <c r="AI69" s="332"/>
      <c r="AJ69" s="332"/>
      <c r="AK69" s="332"/>
      <c r="AL69" s="332"/>
      <c r="AM69" s="332"/>
      <c r="AN69" s="332"/>
      <c r="AO69" s="332"/>
      <c r="AP69" s="332"/>
      <c r="AQ69" s="332"/>
      <c r="AR69" s="332"/>
      <c r="AS69" s="332"/>
      <c r="AT69" s="332"/>
      <c r="AU69" s="332"/>
      <c r="AV69" s="332"/>
      <c r="AW69" s="332"/>
      <c r="AX69" s="332"/>
      <c r="AY69" s="332"/>
      <c r="AZ69" s="332"/>
      <c r="BA69" s="332"/>
      <c r="BB69" s="332"/>
      <c r="BC69" s="332"/>
      <c r="BD69" s="332"/>
      <c r="BE69" s="332"/>
      <c r="BF69" s="332"/>
      <c r="BG69" s="332"/>
      <c r="BH69" s="332"/>
      <c r="BI69" s="332"/>
    </row>
    <row r="70" spans="1:61" ht="15.75" customHeight="1" x14ac:dyDescent="0.25">
      <c r="A70" s="332"/>
      <c r="B70" s="332"/>
      <c r="C70" s="332"/>
      <c r="D70" s="332"/>
      <c r="E70" s="332"/>
      <c r="F70" s="332"/>
      <c r="G70" s="332"/>
      <c r="H70" s="332"/>
      <c r="I70" s="332"/>
      <c r="J70" s="332"/>
      <c r="K70" s="332"/>
      <c r="L70" s="332"/>
      <c r="M70" s="332"/>
      <c r="N70" s="332"/>
      <c r="O70" s="332"/>
      <c r="P70" s="332"/>
      <c r="Q70" s="332"/>
      <c r="R70" s="332"/>
      <c r="S70" s="332"/>
      <c r="T70" s="332"/>
      <c r="U70" s="332"/>
      <c r="V70" s="332"/>
      <c r="W70" s="332"/>
      <c r="X70" s="332"/>
      <c r="Y70" s="332"/>
      <c r="Z70" s="332"/>
      <c r="AA70" s="332"/>
      <c r="AB70" s="332"/>
      <c r="AC70" s="332"/>
      <c r="AD70" s="332"/>
      <c r="AE70" s="332"/>
      <c r="AF70" s="332"/>
      <c r="AG70" s="332"/>
      <c r="AH70" s="332"/>
      <c r="AI70" s="332"/>
      <c r="AJ70" s="332"/>
      <c r="AK70" s="332"/>
      <c r="AL70" s="332"/>
      <c r="AM70" s="332"/>
      <c r="AN70" s="332"/>
      <c r="AO70" s="332"/>
      <c r="AP70" s="332"/>
      <c r="AQ70" s="332"/>
      <c r="AR70" s="332"/>
      <c r="AS70" s="332"/>
      <c r="AT70" s="332"/>
      <c r="AU70" s="332"/>
      <c r="AV70" s="332"/>
      <c r="AW70" s="332"/>
      <c r="AX70" s="332"/>
      <c r="AY70" s="332"/>
      <c r="AZ70" s="332"/>
      <c r="BA70" s="332"/>
      <c r="BB70" s="332"/>
      <c r="BC70" s="332"/>
      <c r="BD70" s="332"/>
      <c r="BE70" s="332"/>
      <c r="BF70" s="332"/>
      <c r="BG70" s="332"/>
      <c r="BH70" s="332"/>
      <c r="BI70" s="332"/>
    </row>
    <row r="71" spans="1:61" ht="15.75" customHeight="1" x14ac:dyDescent="0.25">
      <c r="A71" s="332"/>
      <c r="B71" s="332"/>
      <c r="C71" s="332"/>
      <c r="D71" s="332"/>
      <c r="E71" s="332"/>
      <c r="F71" s="332"/>
      <c r="G71" s="332"/>
      <c r="H71" s="332"/>
      <c r="I71" s="332"/>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c r="AG71" s="332"/>
      <c r="AH71" s="332"/>
      <c r="AI71" s="332"/>
      <c r="AJ71" s="332"/>
      <c r="AK71" s="332"/>
      <c r="AL71" s="332"/>
      <c r="AM71" s="332"/>
      <c r="AN71" s="332"/>
      <c r="AO71" s="332"/>
      <c r="AP71" s="332"/>
      <c r="AQ71" s="332"/>
      <c r="AR71" s="332"/>
      <c r="AS71" s="332"/>
      <c r="AT71" s="332"/>
      <c r="AU71" s="332"/>
      <c r="AV71" s="332"/>
      <c r="AW71" s="332"/>
      <c r="AX71" s="332"/>
      <c r="AY71" s="332"/>
      <c r="AZ71" s="332"/>
      <c r="BA71" s="332"/>
      <c r="BB71" s="332"/>
      <c r="BC71" s="332"/>
      <c r="BD71" s="332"/>
      <c r="BE71" s="332"/>
      <c r="BF71" s="332"/>
      <c r="BG71" s="332"/>
      <c r="BH71" s="332"/>
      <c r="BI71" s="332"/>
    </row>
    <row r="72" spans="1:61" ht="15.75" customHeight="1" x14ac:dyDescent="0.25">
      <c r="A72" s="332"/>
      <c r="B72" s="332"/>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332"/>
      <c r="AF72" s="332"/>
      <c r="AG72" s="332"/>
      <c r="AH72" s="332"/>
      <c r="AI72" s="332"/>
      <c r="AJ72" s="332"/>
      <c r="AK72" s="332"/>
      <c r="AL72" s="332"/>
      <c r="AM72" s="332"/>
      <c r="AN72" s="332"/>
      <c r="AO72" s="332"/>
      <c r="AP72" s="332"/>
      <c r="AQ72" s="332"/>
      <c r="AR72" s="332"/>
      <c r="AS72" s="332"/>
      <c r="AT72" s="332"/>
      <c r="AU72" s="332"/>
      <c r="AV72" s="332"/>
      <c r="AW72" s="332"/>
      <c r="AX72" s="332"/>
      <c r="AY72" s="332"/>
      <c r="AZ72" s="332"/>
      <c r="BA72" s="332"/>
      <c r="BB72" s="332"/>
      <c r="BC72" s="332"/>
      <c r="BD72" s="332"/>
      <c r="BE72" s="332"/>
      <c r="BF72" s="332"/>
      <c r="BG72" s="332"/>
      <c r="BH72" s="332"/>
      <c r="BI72" s="332"/>
    </row>
    <row r="73" spans="1:61" ht="15.75" customHeight="1" x14ac:dyDescent="0.25">
      <c r="A73" s="332"/>
      <c r="B73" s="332"/>
      <c r="C73" s="332"/>
      <c r="D73" s="332"/>
      <c r="E73" s="332"/>
      <c r="F73" s="332"/>
      <c r="G73" s="332"/>
      <c r="H73" s="332"/>
      <c r="I73" s="332"/>
      <c r="J73" s="332"/>
      <c r="K73" s="332"/>
      <c r="L73" s="332"/>
      <c r="M73" s="332"/>
      <c r="N73" s="332"/>
      <c r="O73" s="332"/>
      <c r="P73" s="332"/>
      <c r="Q73" s="332"/>
      <c r="R73" s="332"/>
      <c r="S73" s="332"/>
      <c r="T73" s="332"/>
      <c r="U73" s="332"/>
      <c r="V73" s="332"/>
      <c r="W73" s="332"/>
      <c r="X73" s="332"/>
      <c r="Y73" s="332"/>
      <c r="Z73" s="332"/>
      <c r="AA73" s="332"/>
      <c r="AB73" s="332"/>
      <c r="AC73" s="332"/>
      <c r="AD73" s="332"/>
      <c r="AE73" s="332"/>
      <c r="AF73" s="332"/>
      <c r="AG73" s="332"/>
      <c r="AH73" s="332"/>
      <c r="AI73" s="332"/>
      <c r="AJ73" s="332"/>
      <c r="AK73" s="332"/>
      <c r="AL73" s="332"/>
      <c r="AM73" s="332"/>
      <c r="AN73" s="332"/>
      <c r="AO73" s="332"/>
      <c r="AP73" s="332"/>
      <c r="AQ73" s="332"/>
      <c r="AR73" s="332"/>
      <c r="AS73" s="332"/>
      <c r="AT73" s="332"/>
      <c r="AU73" s="332"/>
      <c r="AV73" s="332"/>
      <c r="AW73" s="332"/>
      <c r="AX73" s="332"/>
      <c r="AY73" s="332"/>
      <c r="AZ73" s="332"/>
      <c r="BA73" s="332"/>
      <c r="BB73" s="332"/>
      <c r="BC73" s="332"/>
      <c r="BD73" s="332"/>
      <c r="BE73" s="332"/>
      <c r="BF73" s="332"/>
      <c r="BG73" s="332"/>
      <c r="BH73" s="332"/>
      <c r="BI73" s="332"/>
    </row>
    <row r="74" spans="1:61" ht="15.75" customHeight="1" x14ac:dyDescent="0.25">
      <c r="A74" s="332"/>
      <c r="B74" s="332"/>
      <c r="C74" s="332"/>
      <c r="D74" s="332"/>
      <c r="E74" s="332"/>
      <c r="F74" s="332"/>
      <c r="G74" s="332"/>
      <c r="H74" s="332"/>
      <c r="I74" s="332"/>
      <c r="J74" s="332"/>
      <c r="K74" s="332"/>
      <c r="L74" s="332"/>
      <c r="M74" s="332"/>
      <c r="N74" s="332"/>
      <c r="O74" s="332"/>
      <c r="P74" s="332"/>
      <c r="Q74" s="332"/>
      <c r="R74" s="332"/>
      <c r="S74" s="332"/>
      <c r="T74" s="332"/>
      <c r="U74" s="332"/>
      <c r="V74" s="332"/>
      <c r="W74" s="332"/>
      <c r="X74" s="332"/>
      <c r="Y74" s="332"/>
      <c r="Z74" s="332"/>
      <c r="AA74" s="332"/>
      <c r="AB74" s="332"/>
      <c r="AC74" s="332"/>
      <c r="AD74" s="332"/>
      <c r="AE74" s="332"/>
      <c r="AF74" s="332"/>
      <c r="AG74" s="332"/>
      <c r="AH74" s="332"/>
      <c r="AI74" s="332"/>
      <c r="AJ74" s="332"/>
      <c r="AK74" s="332"/>
      <c r="AL74" s="332"/>
      <c r="AM74" s="332"/>
      <c r="AN74" s="332"/>
      <c r="AO74" s="332"/>
      <c r="AP74" s="332"/>
      <c r="AQ74" s="332"/>
      <c r="AR74" s="332"/>
      <c r="AS74" s="332"/>
      <c r="AT74" s="332"/>
      <c r="AU74" s="332"/>
      <c r="AV74" s="332"/>
      <c r="AW74" s="332"/>
      <c r="AX74" s="332"/>
      <c r="AY74" s="332"/>
      <c r="AZ74" s="332"/>
      <c r="BA74" s="332"/>
      <c r="BB74" s="332"/>
      <c r="BC74" s="332"/>
      <c r="BD74" s="332"/>
      <c r="BE74" s="332"/>
      <c r="BF74" s="332"/>
      <c r="BG74" s="332"/>
      <c r="BH74" s="332"/>
      <c r="BI74" s="332"/>
    </row>
    <row r="75" spans="1:61" ht="15.75" customHeight="1" x14ac:dyDescent="0.25">
      <c r="A75" s="332"/>
      <c r="B75" s="332"/>
      <c r="C75" s="332"/>
      <c r="D75" s="332"/>
      <c r="E75" s="332"/>
      <c r="F75" s="332"/>
      <c r="G75" s="332"/>
      <c r="H75" s="332"/>
      <c r="I75" s="332"/>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c r="AH75" s="332"/>
      <c r="AI75" s="332"/>
      <c r="AJ75" s="332"/>
      <c r="AK75" s="332"/>
      <c r="AL75" s="332"/>
      <c r="AM75" s="332"/>
      <c r="AN75" s="332"/>
      <c r="AO75" s="332"/>
      <c r="AP75" s="332"/>
      <c r="AQ75" s="332"/>
      <c r="AR75" s="332"/>
      <c r="AS75" s="332"/>
      <c r="AT75" s="332"/>
      <c r="AU75" s="332"/>
      <c r="AV75" s="332"/>
      <c r="AW75" s="332"/>
      <c r="AX75" s="332"/>
      <c r="AY75" s="332"/>
      <c r="AZ75" s="332"/>
      <c r="BA75" s="332"/>
      <c r="BB75" s="332"/>
      <c r="BC75" s="332"/>
      <c r="BD75" s="332"/>
      <c r="BE75" s="332"/>
      <c r="BF75" s="332"/>
      <c r="BG75" s="332"/>
      <c r="BH75" s="332"/>
      <c r="BI75" s="332"/>
    </row>
    <row r="76" spans="1:61" ht="15.75" customHeight="1" x14ac:dyDescent="0.25">
      <c r="A76" s="332"/>
      <c r="B76" s="332"/>
      <c r="C76" s="332"/>
      <c r="D76" s="332"/>
      <c r="E76" s="332"/>
      <c r="F76" s="332"/>
      <c r="G76" s="332"/>
      <c r="H76" s="332"/>
      <c r="I76" s="332"/>
      <c r="J76" s="332"/>
      <c r="K76" s="332"/>
      <c r="L76" s="332"/>
      <c r="M76" s="332"/>
      <c r="N76" s="332"/>
      <c r="O76" s="332"/>
      <c r="P76" s="332"/>
      <c r="Q76" s="332"/>
      <c r="R76" s="332"/>
      <c r="S76" s="332"/>
      <c r="T76" s="332"/>
      <c r="U76" s="332"/>
      <c r="V76" s="332"/>
      <c r="W76" s="332"/>
      <c r="X76" s="332"/>
      <c r="Y76" s="332"/>
      <c r="Z76" s="332"/>
      <c r="AA76" s="332"/>
      <c r="AB76" s="332"/>
      <c r="AC76" s="332"/>
      <c r="AD76" s="332"/>
      <c r="AE76" s="332"/>
      <c r="AF76" s="332"/>
      <c r="AG76" s="332"/>
      <c r="AH76" s="332"/>
      <c r="AI76" s="332"/>
      <c r="AJ76" s="332"/>
      <c r="AK76" s="332"/>
      <c r="AL76" s="332"/>
      <c r="AM76" s="332"/>
      <c r="AN76" s="332"/>
      <c r="AO76" s="332"/>
      <c r="AP76" s="332"/>
      <c r="AQ76" s="332"/>
      <c r="AR76" s="332"/>
      <c r="AS76" s="332"/>
      <c r="AT76" s="332"/>
      <c r="AU76" s="332"/>
      <c r="AV76" s="332"/>
      <c r="AW76" s="332"/>
      <c r="AX76" s="332"/>
      <c r="AY76" s="332"/>
      <c r="AZ76" s="332"/>
      <c r="BA76" s="332"/>
      <c r="BB76" s="332"/>
      <c r="BC76" s="332"/>
      <c r="BD76" s="332"/>
      <c r="BE76" s="332"/>
      <c r="BF76" s="332"/>
      <c r="BG76" s="332"/>
      <c r="BH76" s="332"/>
      <c r="BI76" s="332"/>
    </row>
    <row r="77" spans="1:61" ht="15.75" customHeight="1" x14ac:dyDescent="0.25">
      <c r="A77" s="332"/>
      <c r="B77" s="332"/>
      <c r="C77" s="332"/>
      <c r="D77" s="332"/>
      <c r="E77" s="332"/>
      <c r="F77" s="332"/>
      <c r="G77" s="332"/>
      <c r="H77" s="332"/>
      <c r="I77" s="332"/>
      <c r="J77" s="332"/>
      <c r="K77" s="332"/>
      <c r="L77" s="332"/>
      <c r="M77" s="332"/>
      <c r="N77" s="332"/>
      <c r="O77" s="332"/>
      <c r="P77" s="332"/>
      <c r="Q77" s="332"/>
      <c r="R77" s="332"/>
      <c r="S77" s="332"/>
      <c r="T77" s="332"/>
      <c r="U77" s="332"/>
      <c r="V77" s="332"/>
      <c r="W77" s="332"/>
      <c r="X77" s="332"/>
      <c r="Y77" s="332"/>
      <c r="Z77" s="332"/>
      <c r="AA77" s="332"/>
      <c r="AB77" s="332"/>
      <c r="AC77" s="332"/>
      <c r="AD77" s="332"/>
      <c r="AE77" s="332"/>
      <c r="AF77" s="332"/>
      <c r="AG77" s="332"/>
      <c r="AH77" s="332"/>
      <c r="AI77" s="332"/>
      <c r="AJ77" s="332"/>
      <c r="AK77" s="332"/>
      <c r="AL77" s="332"/>
      <c r="AM77" s="332"/>
      <c r="AN77" s="332"/>
      <c r="AO77" s="332"/>
      <c r="AP77" s="332"/>
      <c r="AQ77" s="332"/>
      <c r="AR77" s="332"/>
      <c r="AS77" s="332"/>
      <c r="AT77" s="332"/>
      <c r="AU77" s="332"/>
      <c r="AV77" s="332"/>
      <c r="AW77" s="332"/>
      <c r="AX77" s="332"/>
      <c r="AY77" s="332"/>
      <c r="AZ77" s="332"/>
      <c r="BA77" s="332"/>
      <c r="BB77" s="332"/>
      <c r="BC77" s="332"/>
      <c r="BD77" s="332"/>
      <c r="BE77" s="332"/>
      <c r="BF77" s="332"/>
      <c r="BG77" s="332"/>
      <c r="BH77" s="332"/>
      <c r="BI77" s="332"/>
    </row>
    <row r="78" spans="1:61" ht="15.75" customHeight="1" x14ac:dyDescent="0.25">
      <c r="A78" s="332"/>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c r="AA78" s="332"/>
      <c r="AB78" s="332"/>
      <c r="AC78" s="332"/>
      <c r="AD78" s="332"/>
      <c r="AE78" s="332"/>
      <c r="AF78" s="332"/>
      <c r="AG78" s="332"/>
      <c r="AH78" s="332"/>
      <c r="AI78" s="332"/>
      <c r="AJ78" s="332"/>
      <c r="AK78" s="332"/>
      <c r="AL78" s="332"/>
      <c r="AM78" s="332"/>
      <c r="AN78" s="332"/>
      <c r="AO78" s="332"/>
      <c r="AP78" s="332"/>
      <c r="AQ78" s="332"/>
      <c r="AR78" s="332"/>
      <c r="AS78" s="332"/>
      <c r="AT78" s="332"/>
      <c r="AU78" s="332"/>
      <c r="AV78" s="332"/>
      <c r="AW78" s="332"/>
      <c r="AX78" s="332"/>
      <c r="AY78" s="332"/>
      <c r="AZ78" s="332"/>
      <c r="BA78" s="332"/>
      <c r="BB78" s="332"/>
      <c r="BC78" s="332"/>
      <c r="BD78" s="332"/>
      <c r="BE78" s="332"/>
      <c r="BF78" s="332"/>
      <c r="BG78" s="332"/>
      <c r="BH78" s="332"/>
      <c r="BI78" s="332"/>
    </row>
    <row r="79" spans="1:61" ht="15.75" customHeight="1" x14ac:dyDescent="0.25">
      <c r="A79" s="332"/>
      <c r="B79" s="332"/>
      <c r="C79" s="332"/>
      <c r="D79" s="332"/>
      <c r="E79" s="332"/>
      <c r="F79" s="332"/>
      <c r="G79" s="332"/>
      <c r="H79" s="332"/>
      <c r="I79" s="332"/>
      <c r="J79" s="332"/>
      <c r="K79" s="332"/>
      <c r="L79" s="332"/>
      <c r="M79" s="332"/>
      <c r="N79" s="332"/>
      <c r="O79" s="332"/>
      <c r="P79" s="332"/>
      <c r="Q79" s="332"/>
      <c r="R79" s="332"/>
      <c r="S79" s="332"/>
      <c r="T79" s="332"/>
      <c r="U79" s="332"/>
      <c r="V79" s="332"/>
      <c r="W79" s="332"/>
      <c r="X79" s="332"/>
      <c r="Y79" s="332"/>
      <c r="Z79" s="332"/>
      <c r="AA79" s="332"/>
      <c r="AB79" s="332"/>
      <c r="AC79" s="332"/>
      <c r="AD79" s="332"/>
      <c r="AE79" s="332"/>
      <c r="AF79" s="332"/>
      <c r="AG79" s="332"/>
      <c r="AH79" s="332"/>
      <c r="AI79" s="332"/>
      <c r="AJ79" s="332"/>
      <c r="AK79" s="332"/>
      <c r="AL79" s="332"/>
      <c r="AM79" s="332"/>
      <c r="AN79" s="332"/>
      <c r="AO79" s="332"/>
      <c r="AP79" s="332"/>
      <c r="AQ79" s="332"/>
      <c r="AR79" s="332"/>
      <c r="AS79" s="332"/>
      <c r="AT79" s="332"/>
      <c r="AU79" s="332"/>
      <c r="AV79" s="332"/>
      <c r="AW79" s="332"/>
      <c r="AX79" s="332"/>
      <c r="AY79" s="332"/>
      <c r="AZ79" s="332"/>
      <c r="BA79" s="332"/>
      <c r="BB79" s="332"/>
      <c r="BC79" s="332"/>
      <c r="BD79" s="332"/>
      <c r="BE79" s="332"/>
      <c r="BF79" s="332"/>
      <c r="BG79" s="332"/>
      <c r="BH79" s="332"/>
      <c r="BI79" s="332"/>
    </row>
    <row r="80" spans="1:61" ht="15.75" customHeight="1" x14ac:dyDescent="0.25">
      <c r="A80" s="332"/>
      <c r="B80" s="332"/>
      <c r="C80" s="332"/>
      <c r="D80" s="332"/>
      <c r="E80" s="332"/>
      <c r="F80" s="332"/>
      <c r="G80" s="332"/>
      <c r="H80" s="332"/>
      <c r="I80" s="332"/>
      <c r="J80" s="332"/>
      <c r="K80" s="332"/>
      <c r="L80" s="332"/>
      <c r="M80" s="332"/>
      <c r="N80" s="332"/>
      <c r="O80" s="332"/>
      <c r="P80" s="332"/>
      <c r="Q80" s="332"/>
      <c r="R80" s="332"/>
      <c r="S80" s="332"/>
      <c r="T80" s="332"/>
      <c r="U80" s="332"/>
      <c r="V80" s="332"/>
      <c r="W80" s="332"/>
      <c r="X80" s="332"/>
      <c r="Y80" s="332"/>
      <c r="Z80" s="332"/>
      <c r="AA80" s="332"/>
      <c r="AB80" s="332"/>
      <c r="AC80" s="332"/>
      <c r="AD80" s="332"/>
      <c r="AE80" s="332"/>
      <c r="AF80" s="332"/>
      <c r="AG80" s="332"/>
      <c r="AH80" s="332"/>
      <c r="AI80" s="332"/>
      <c r="AJ80" s="332"/>
      <c r="AK80" s="332"/>
      <c r="AL80" s="332"/>
      <c r="AM80" s="332"/>
      <c r="AN80" s="332"/>
      <c r="AO80" s="332"/>
      <c r="AP80" s="332"/>
      <c r="AQ80" s="332"/>
      <c r="AR80" s="332"/>
      <c r="AS80" s="332"/>
      <c r="AT80" s="332"/>
      <c r="AU80" s="332"/>
      <c r="AV80" s="332"/>
      <c r="AW80" s="332"/>
      <c r="AX80" s="332"/>
      <c r="AY80" s="332"/>
      <c r="AZ80" s="332"/>
      <c r="BA80" s="332"/>
      <c r="BB80" s="332"/>
      <c r="BC80" s="332"/>
      <c r="BD80" s="332"/>
      <c r="BE80" s="332"/>
      <c r="BF80" s="332"/>
      <c r="BG80" s="332"/>
      <c r="BH80" s="332"/>
      <c r="BI80" s="332"/>
    </row>
    <row r="81" spans="1:61" ht="15.75" customHeight="1" x14ac:dyDescent="0.25">
      <c r="A81" s="332"/>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332"/>
      <c r="AF81" s="332"/>
      <c r="AG81" s="332"/>
      <c r="AH81" s="332"/>
      <c r="AI81" s="332"/>
      <c r="AJ81" s="332"/>
      <c r="AK81" s="332"/>
      <c r="AL81" s="332"/>
      <c r="AM81" s="332"/>
      <c r="AN81" s="332"/>
      <c r="AO81" s="332"/>
      <c r="AP81" s="332"/>
      <c r="AQ81" s="332"/>
      <c r="AR81" s="332"/>
      <c r="AS81" s="332"/>
      <c r="AT81" s="332"/>
      <c r="AU81" s="332"/>
      <c r="AV81" s="332"/>
      <c r="AW81" s="332"/>
      <c r="AX81" s="332"/>
      <c r="AY81" s="332"/>
      <c r="AZ81" s="332"/>
      <c r="BA81" s="332"/>
      <c r="BB81" s="332"/>
      <c r="BC81" s="332"/>
      <c r="BD81" s="332"/>
      <c r="BE81" s="332"/>
      <c r="BF81" s="332"/>
      <c r="BG81" s="332"/>
      <c r="BH81" s="332"/>
      <c r="BI81" s="332"/>
    </row>
    <row r="82" spans="1:61" ht="15.75" customHeight="1" x14ac:dyDescent="0.25">
      <c r="A82" s="332"/>
      <c r="B82" s="332"/>
      <c r="C82" s="332"/>
      <c r="D82" s="332"/>
      <c r="E82" s="332"/>
      <c r="F82" s="332"/>
      <c r="G82" s="332"/>
      <c r="H82" s="332"/>
      <c r="I82" s="332"/>
      <c r="J82" s="332"/>
      <c r="K82" s="332"/>
      <c r="L82" s="332"/>
      <c r="M82" s="332"/>
      <c r="N82" s="332"/>
      <c r="O82" s="332"/>
      <c r="P82" s="332"/>
      <c r="Q82" s="332"/>
      <c r="R82" s="332"/>
      <c r="S82" s="332"/>
      <c r="T82" s="332"/>
      <c r="U82" s="332"/>
      <c r="V82" s="332"/>
      <c r="W82" s="332"/>
      <c r="X82" s="332"/>
      <c r="Y82" s="332"/>
      <c r="Z82" s="332"/>
      <c r="AA82" s="332"/>
      <c r="AB82" s="332"/>
      <c r="AC82" s="332"/>
      <c r="AD82" s="332"/>
      <c r="AE82" s="332"/>
      <c r="AF82" s="332"/>
      <c r="AG82" s="332"/>
      <c r="AH82" s="332"/>
      <c r="AI82" s="332"/>
      <c r="AJ82" s="332"/>
      <c r="AK82" s="332"/>
      <c r="AL82" s="332"/>
      <c r="AM82" s="332"/>
      <c r="AN82" s="332"/>
      <c r="AO82" s="332"/>
      <c r="AP82" s="332"/>
      <c r="AQ82" s="332"/>
      <c r="AR82" s="332"/>
      <c r="AS82" s="332"/>
      <c r="AT82" s="332"/>
      <c r="AU82" s="332"/>
      <c r="AV82" s="332"/>
      <c r="AW82" s="332"/>
      <c r="AX82" s="332"/>
      <c r="AY82" s="332"/>
      <c r="AZ82" s="332"/>
      <c r="BA82" s="332"/>
      <c r="BB82" s="332"/>
      <c r="BC82" s="332"/>
      <c r="BD82" s="332"/>
      <c r="BE82" s="332"/>
      <c r="BF82" s="332"/>
      <c r="BG82" s="332"/>
      <c r="BH82" s="332"/>
      <c r="BI82" s="332"/>
    </row>
    <row r="83" spans="1:61" ht="15.75" customHeight="1" x14ac:dyDescent="0.25">
      <c r="A83" s="332"/>
      <c r="B83" s="332"/>
      <c r="C83" s="332"/>
      <c r="D83" s="332"/>
      <c r="E83" s="332"/>
      <c r="F83" s="332"/>
      <c r="G83" s="332"/>
      <c r="H83" s="332"/>
      <c r="I83" s="332"/>
      <c r="J83" s="332"/>
      <c r="K83" s="332"/>
      <c r="L83" s="332"/>
      <c r="M83" s="332"/>
      <c r="N83" s="332"/>
      <c r="O83" s="332"/>
      <c r="P83" s="332"/>
      <c r="Q83" s="332"/>
      <c r="R83" s="332"/>
      <c r="S83" s="332"/>
      <c r="T83" s="332"/>
      <c r="U83" s="332"/>
      <c r="V83" s="332"/>
      <c r="W83" s="332"/>
      <c r="X83" s="332"/>
      <c r="Y83" s="332"/>
      <c r="Z83" s="332"/>
      <c r="AA83" s="332"/>
      <c r="AB83" s="332"/>
      <c r="AC83" s="332"/>
      <c r="AD83" s="332"/>
      <c r="AE83" s="332"/>
      <c r="AF83" s="332"/>
      <c r="AG83" s="332"/>
      <c r="AH83" s="332"/>
      <c r="AI83" s="332"/>
      <c r="AJ83" s="332"/>
      <c r="AK83" s="332"/>
      <c r="AL83" s="332"/>
      <c r="AM83" s="332"/>
      <c r="AN83" s="332"/>
      <c r="AO83" s="332"/>
      <c r="AP83" s="332"/>
      <c r="AQ83" s="332"/>
      <c r="AR83" s="332"/>
      <c r="AS83" s="332"/>
      <c r="AT83" s="332"/>
      <c r="AU83" s="332"/>
      <c r="AV83" s="332"/>
      <c r="AW83" s="332"/>
      <c r="AX83" s="332"/>
      <c r="AY83" s="332"/>
      <c r="AZ83" s="332"/>
      <c r="BA83" s="332"/>
      <c r="BB83" s="332"/>
      <c r="BC83" s="332"/>
      <c r="BD83" s="332"/>
      <c r="BE83" s="332"/>
      <c r="BF83" s="332"/>
      <c r="BG83" s="332"/>
      <c r="BH83" s="332"/>
      <c r="BI83" s="332"/>
    </row>
    <row r="84" spans="1:61" ht="15.75" customHeight="1" x14ac:dyDescent="0.25">
      <c r="A84" s="332"/>
      <c r="B84" s="332"/>
      <c r="C84" s="332"/>
      <c r="D84" s="332"/>
      <c r="E84" s="332"/>
      <c r="F84" s="332"/>
      <c r="G84" s="332"/>
      <c r="H84" s="332"/>
      <c r="I84" s="332"/>
      <c r="J84" s="332"/>
      <c r="K84" s="332"/>
      <c r="L84" s="332"/>
      <c r="M84" s="332"/>
      <c r="N84" s="332"/>
      <c r="O84" s="332"/>
      <c r="P84" s="332"/>
      <c r="Q84" s="332"/>
      <c r="R84" s="332"/>
      <c r="S84" s="332"/>
      <c r="T84" s="332"/>
      <c r="U84" s="332"/>
      <c r="V84" s="332"/>
      <c r="W84" s="332"/>
      <c r="X84" s="332"/>
      <c r="Y84" s="332"/>
      <c r="Z84" s="332"/>
      <c r="AA84" s="332"/>
      <c r="AB84" s="332"/>
      <c r="AC84" s="332"/>
      <c r="AD84" s="332"/>
      <c r="AE84" s="332"/>
      <c r="AF84" s="332"/>
      <c r="AG84" s="332"/>
      <c r="AH84" s="332"/>
      <c r="AI84" s="332"/>
      <c r="AJ84" s="332"/>
      <c r="AK84" s="332"/>
      <c r="AL84" s="332"/>
      <c r="AM84" s="332"/>
      <c r="AN84" s="332"/>
      <c r="AO84" s="332"/>
      <c r="AP84" s="332"/>
      <c r="AQ84" s="332"/>
      <c r="AR84" s="332"/>
      <c r="AS84" s="332"/>
      <c r="AT84" s="332"/>
      <c r="AU84" s="332"/>
      <c r="AV84" s="332"/>
      <c r="AW84" s="332"/>
      <c r="AX84" s="332"/>
      <c r="AY84" s="332"/>
      <c r="AZ84" s="332"/>
      <c r="BA84" s="332"/>
      <c r="BB84" s="332"/>
      <c r="BC84" s="332"/>
      <c r="BD84" s="332"/>
      <c r="BE84" s="332"/>
      <c r="BF84" s="332"/>
      <c r="BG84" s="332"/>
      <c r="BH84" s="332"/>
      <c r="BI84" s="332"/>
    </row>
    <row r="85" spans="1:61" ht="15.75" customHeight="1" x14ac:dyDescent="0.25">
      <c r="A85" s="332"/>
      <c r="B85" s="332"/>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332"/>
      <c r="AF85" s="332"/>
      <c r="AG85" s="332"/>
      <c r="AH85" s="332"/>
      <c r="AI85" s="332"/>
      <c r="AJ85" s="332"/>
      <c r="AK85" s="332"/>
      <c r="AL85" s="332"/>
      <c r="AM85" s="332"/>
      <c r="AN85" s="332"/>
      <c r="AO85" s="332"/>
      <c r="AP85" s="332"/>
      <c r="AQ85" s="332"/>
      <c r="AR85" s="332"/>
      <c r="AS85" s="332"/>
      <c r="AT85" s="332"/>
      <c r="AU85" s="332"/>
      <c r="AV85" s="332"/>
      <c r="AW85" s="332"/>
      <c r="AX85" s="332"/>
      <c r="AY85" s="332"/>
      <c r="AZ85" s="332"/>
      <c r="BA85" s="332"/>
      <c r="BB85" s="332"/>
      <c r="BC85" s="332"/>
      <c r="BD85" s="332"/>
      <c r="BE85" s="332"/>
      <c r="BF85" s="332"/>
      <c r="BG85" s="332"/>
      <c r="BH85" s="332"/>
      <c r="BI85" s="332"/>
    </row>
    <row r="86" spans="1:61" ht="15.75" customHeight="1" x14ac:dyDescent="0.25">
      <c r="A86" s="332"/>
      <c r="B86" s="332"/>
      <c r="C86" s="332"/>
      <c r="D86" s="332"/>
      <c r="E86" s="332"/>
      <c r="F86" s="332"/>
      <c r="G86" s="332"/>
      <c r="H86" s="332"/>
      <c r="I86" s="332"/>
      <c r="J86" s="332"/>
      <c r="K86" s="332"/>
      <c r="L86" s="332"/>
      <c r="M86" s="332"/>
      <c r="N86" s="332"/>
      <c r="O86" s="332"/>
      <c r="P86" s="332"/>
      <c r="Q86" s="332"/>
      <c r="R86" s="332"/>
      <c r="S86" s="332"/>
      <c r="T86" s="332"/>
      <c r="U86" s="332"/>
      <c r="V86" s="332"/>
      <c r="W86" s="332"/>
      <c r="X86" s="332"/>
      <c r="Y86" s="332"/>
      <c r="Z86" s="332"/>
      <c r="AA86" s="332"/>
      <c r="AB86" s="332"/>
      <c r="AC86" s="332"/>
      <c r="AD86" s="332"/>
      <c r="AE86" s="332"/>
      <c r="AF86" s="332"/>
      <c r="AG86" s="332"/>
      <c r="AH86" s="332"/>
      <c r="AI86" s="332"/>
      <c r="AJ86" s="332"/>
      <c r="AK86" s="332"/>
      <c r="AL86" s="332"/>
      <c r="AM86" s="332"/>
      <c r="AN86" s="332"/>
      <c r="AO86" s="332"/>
      <c r="AP86" s="332"/>
      <c r="AQ86" s="332"/>
      <c r="AR86" s="332"/>
      <c r="AS86" s="332"/>
      <c r="AT86" s="332"/>
      <c r="AU86" s="332"/>
      <c r="AV86" s="332"/>
      <c r="AW86" s="332"/>
      <c r="AX86" s="332"/>
      <c r="AY86" s="332"/>
      <c r="AZ86" s="332"/>
      <c r="BA86" s="332"/>
      <c r="BB86" s="332"/>
      <c r="BC86" s="332"/>
      <c r="BD86" s="332"/>
      <c r="BE86" s="332"/>
      <c r="BF86" s="332"/>
      <c r="BG86" s="332"/>
      <c r="BH86" s="332"/>
      <c r="BI86" s="332"/>
    </row>
    <row r="87" spans="1:61" ht="15.75" customHeight="1" x14ac:dyDescent="0.25">
      <c r="A87" s="332"/>
      <c r="B87" s="332"/>
      <c r="C87" s="332"/>
      <c r="D87" s="332"/>
      <c r="E87" s="332"/>
      <c r="F87" s="332"/>
      <c r="G87" s="332"/>
      <c r="H87" s="332"/>
      <c r="I87" s="332"/>
      <c r="J87" s="332"/>
      <c r="K87" s="332"/>
      <c r="L87" s="332"/>
      <c r="M87" s="332"/>
      <c r="N87" s="332"/>
      <c r="O87" s="332"/>
      <c r="P87" s="332"/>
      <c r="Q87" s="332"/>
      <c r="R87" s="332"/>
      <c r="S87" s="332"/>
      <c r="T87" s="332"/>
      <c r="U87" s="332"/>
      <c r="V87" s="332"/>
      <c r="W87" s="332"/>
      <c r="X87" s="332"/>
      <c r="Y87" s="332"/>
      <c r="Z87" s="332"/>
      <c r="AA87" s="332"/>
      <c r="AB87" s="332"/>
      <c r="AC87" s="332"/>
      <c r="AD87" s="332"/>
      <c r="AE87" s="332"/>
      <c r="AF87" s="332"/>
      <c r="AG87" s="332"/>
      <c r="AH87" s="332"/>
      <c r="AI87" s="332"/>
      <c r="AJ87" s="332"/>
      <c r="AK87" s="332"/>
      <c r="AL87" s="332"/>
      <c r="AM87" s="332"/>
      <c r="AN87" s="332"/>
      <c r="AO87" s="332"/>
      <c r="AP87" s="332"/>
      <c r="AQ87" s="332"/>
      <c r="AR87" s="332"/>
      <c r="AS87" s="332"/>
      <c r="AT87" s="332"/>
      <c r="AU87" s="332"/>
      <c r="AV87" s="332"/>
      <c r="AW87" s="332"/>
      <c r="AX87" s="332"/>
      <c r="AY87" s="332"/>
      <c r="AZ87" s="332"/>
      <c r="BA87" s="332"/>
      <c r="BB87" s="332"/>
      <c r="BC87" s="332"/>
      <c r="BD87" s="332"/>
      <c r="BE87" s="332"/>
      <c r="BF87" s="332"/>
      <c r="BG87" s="332"/>
      <c r="BH87" s="332"/>
      <c r="BI87" s="332"/>
    </row>
    <row r="88" spans="1:61" ht="15.75" customHeight="1" x14ac:dyDescent="0.25">
      <c r="A88" s="332"/>
      <c r="B88" s="332"/>
      <c r="C88" s="332"/>
      <c r="D88" s="332"/>
      <c r="E88" s="332"/>
      <c r="F88" s="332"/>
      <c r="G88" s="332"/>
      <c r="H88" s="332"/>
      <c r="I88" s="332"/>
      <c r="J88" s="332"/>
      <c r="K88" s="332"/>
      <c r="L88" s="332"/>
      <c r="M88" s="332"/>
      <c r="N88" s="332"/>
      <c r="O88" s="332"/>
      <c r="P88" s="332"/>
      <c r="Q88" s="332"/>
      <c r="R88" s="332"/>
      <c r="S88" s="332"/>
      <c r="T88" s="332"/>
      <c r="U88" s="332"/>
      <c r="V88" s="332"/>
      <c r="W88" s="332"/>
      <c r="X88" s="332"/>
      <c r="Y88" s="332"/>
      <c r="Z88" s="332"/>
      <c r="AA88" s="332"/>
      <c r="AB88" s="332"/>
      <c r="AC88" s="332"/>
      <c r="AD88" s="332"/>
      <c r="AE88" s="332"/>
      <c r="AF88" s="332"/>
      <c r="AG88" s="332"/>
      <c r="AH88" s="332"/>
      <c r="AI88" s="332"/>
      <c r="AJ88" s="332"/>
      <c r="AK88" s="332"/>
      <c r="AL88" s="332"/>
      <c r="AM88" s="332"/>
      <c r="AN88" s="332"/>
      <c r="AO88" s="332"/>
      <c r="AP88" s="332"/>
      <c r="AQ88" s="332"/>
      <c r="AR88" s="332"/>
      <c r="AS88" s="332"/>
      <c r="AT88" s="332"/>
      <c r="AU88" s="332"/>
      <c r="AV88" s="332"/>
      <c r="AW88" s="332"/>
      <c r="AX88" s="332"/>
      <c r="AY88" s="332"/>
      <c r="AZ88" s="332"/>
      <c r="BA88" s="332"/>
      <c r="BB88" s="332"/>
      <c r="BC88" s="332"/>
      <c r="BD88" s="332"/>
      <c r="BE88" s="332"/>
      <c r="BF88" s="332"/>
      <c r="BG88" s="332"/>
      <c r="BH88" s="332"/>
      <c r="BI88" s="332"/>
    </row>
    <row r="89" spans="1:61" ht="15.75" customHeight="1" x14ac:dyDescent="0.25">
      <c r="A89" s="332"/>
      <c r="B89" s="332"/>
      <c r="C89" s="332"/>
      <c r="D89" s="332"/>
      <c r="E89" s="332"/>
      <c r="F89" s="332"/>
      <c r="G89" s="332"/>
      <c r="H89" s="332"/>
      <c r="I89" s="332"/>
      <c r="J89" s="332"/>
      <c r="K89" s="332"/>
      <c r="L89" s="332"/>
      <c r="M89" s="332"/>
      <c r="N89" s="332"/>
      <c r="O89" s="332"/>
      <c r="P89" s="332"/>
      <c r="Q89" s="332"/>
      <c r="R89" s="332"/>
      <c r="S89" s="332"/>
      <c r="T89" s="332"/>
      <c r="U89" s="332"/>
      <c r="V89" s="332"/>
      <c r="W89" s="332"/>
      <c r="X89" s="332"/>
      <c r="Y89" s="332"/>
      <c r="Z89" s="332"/>
      <c r="AA89" s="332"/>
      <c r="AB89" s="332"/>
      <c r="AC89" s="332"/>
      <c r="AD89" s="332"/>
      <c r="AE89" s="332"/>
      <c r="AF89" s="332"/>
      <c r="AG89" s="332"/>
      <c r="AH89" s="332"/>
      <c r="AI89" s="332"/>
      <c r="AJ89" s="332"/>
      <c r="AK89" s="332"/>
      <c r="AL89" s="332"/>
      <c r="AM89" s="332"/>
      <c r="AN89" s="332"/>
      <c r="AO89" s="332"/>
      <c r="AP89" s="332"/>
      <c r="AQ89" s="332"/>
      <c r="AR89" s="332"/>
      <c r="AS89" s="332"/>
      <c r="AT89" s="332"/>
      <c r="AU89" s="332"/>
      <c r="AV89" s="332"/>
      <c r="AW89" s="332"/>
      <c r="AX89" s="332"/>
      <c r="AY89" s="332"/>
      <c r="AZ89" s="332"/>
      <c r="BA89" s="332"/>
      <c r="BB89" s="332"/>
      <c r="BC89" s="332"/>
      <c r="BD89" s="332"/>
      <c r="BE89" s="332"/>
      <c r="BF89" s="332"/>
      <c r="BG89" s="332"/>
      <c r="BH89" s="332"/>
      <c r="BI89" s="332"/>
    </row>
    <row r="90" spans="1:61" ht="15.75" customHeight="1" x14ac:dyDescent="0.25">
      <c r="A90" s="332"/>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332"/>
      <c r="AF90" s="332"/>
      <c r="AG90" s="332"/>
      <c r="AH90" s="332"/>
      <c r="AI90" s="332"/>
      <c r="AJ90" s="332"/>
      <c r="AK90" s="332"/>
      <c r="AL90" s="332"/>
      <c r="AM90" s="332"/>
      <c r="AN90" s="332"/>
      <c r="AO90" s="332"/>
      <c r="AP90" s="332"/>
      <c r="AQ90" s="332"/>
      <c r="AR90" s="332"/>
      <c r="AS90" s="332"/>
      <c r="AT90" s="332"/>
      <c r="AU90" s="332"/>
      <c r="AV90" s="332"/>
      <c r="AW90" s="332"/>
      <c r="AX90" s="332"/>
      <c r="AY90" s="332"/>
      <c r="AZ90" s="332"/>
      <c r="BA90" s="332"/>
      <c r="BB90" s="332"/>
      <c r="BC90" s="332"/>
      <c r="BD90" s="332"/>
      <c r="BE90" s="332"/>
      <c r="BF90" s="332"/>
      <c r="BG90" s="332"/>
      <c r="BH90" s="332"/>
      <c r="BI90" s="332"/>
    </row>
    <row r="91" spans="1:61" ht="15.75" customHeight="1" x14ac:dyDescent="0.25">
      <c r="A91" s="332"/>
      <c r="B91" s="332"/>
      <c r="C91" s="332"/>
      <c r="D91" s="332"/>
      <c r="E91" s="332"/>
      <c r="F91" s="332"/>
      <c r="G91" s="332"/>
      <c r="H91" s="332"/>
      <c r="I91" s="332"/>
      <c r="J91" s="332"/>
      <c r="K91" s="332"/>
      <c r="L91" s="332"/>
      <c r="M91" s="332"/>
      <c r="N91" s="332"/>
      <c r="O91" s="332"/>
      <c r="P91" s="332"/>
      <c r="Q91" s="332"/>
      <c r="R91" s="332"/>
      <c r="S91" s="332"/>
      <c r="T91" s="332"/>
      <c r="U91" s="332"/>
      <c r="V91" s="332"/>
      <c r="W91" s="332"/>
      <c r="X91" s="332"/>
      <c r="Y91" s="332"/>
      <c r="Z91" s="332"/>
      <c r="AA91" s="332"/>
      <c r="AB91" s="332"/>
      <c r="AC91" s="332"/>
      <c r="AD91" s="332"/>
      <c r="AE91" s="332"/>
      <c r="AF91" s="332"/>
      <c r="AG91" s="332"/>
      <c r="AH91" s="332"/>
      <c r="AI91" s="332"/>
      <c r="AJ91" s="332"/>
      <c r="AK91" s="332"/>
      <c r="AL91" s="332"/>
      <c r="AM91" s="332"/>
      <c r="AN91" s="332"/>
      <c r="AO91" s="332"/>
      <c r="AP91" s="332"/>
      <c r="AQ91" s="332"/>
      <c r="AR91" s="332"/>
      <c r="AS91" s="332"/>
      <c r="AT91" s="332"/>
      <c r="AU91" s="332"/>
      <c r="AV91" s="332"/>
      <c r="AW91" s="332"/>
      <c r="AX91" s="332"/>
      <c r="AY91" s="332"/>
      <c r="AZ91" s="332"/>
      <c r="BA91" s="332"/>
      <c r="BB91" s="332"/>
      <c r="BC91" s="332"/>
      <c r="BD91" s="332"/>
      <c r="BE91" s="332"/>
      <c r="BF91" s="332"/>
      <c r="BG91" s="332"/>
      <c r="BH91" s="332"/>
      <c r="BI91" s="332"/>
    </row>
    <row r="92" spans="1:61" ht="15.75" customHeight="1" x14ac:dyDescent="0.25">
      <c r="A92" s="332"/>
      <c r="B92" s="332"/>
      <c r="C92" s="332"/>
      <c r="D92" s="332"/>
      <c r="E92" s="332"/>
      <c r="F92" s="332"/>
      <c r="G92" s="332"/>
      <c r="H92" s="332"/>
      <c r="I92" s="332"/>
      <c r="J92" s="332"/>
      <c r="K92" s="332"/>
      <c r="L92" s="332"/>
      <c r="M92" s="332"/>
      <c r="N92" s="332"/>
      <c r="O92" s="332"/>
      <c r="P92" s="332"/>
      <c r="Q92" s="332"/>
      <c r="R92" s="332"/>
      <c r="S92" s="332"/>
      <c r="T92" s="332"/>
      <c r="U92" s="332"/>
      <c r="V92" s="332"/>
      <c r="W92" s="332"/>
      <c r="X92" s="332"/>
      <c r="Y92" s="332"/>
      <c r="Z92" s="332"/>
      <c r="AA92" s="332"/>
      <c r="AB92" s="332"/>
      <c r="AC92" s="332"/>
      <c r="AD92" s="332"/>
      <c r="AE92" s="332"/>
      <c r="AF92" s="332"/>
      <c r="AG92" s="332"/>
      <c r="AH92" s="332"/>
      <c r="AI92" s="332"/>
      <c r="AJ92" s="332"/>
      <c r="AK92" s="332"/>
      <c r="AL92" s="332"/>
      <c r="AM92" s="332"/>
      <c r="AN92" s="332"/>
      <c r="AO92" s="332"/>
      <c r="AP92" s="332"/>
      <c r="AQ92" s="332"/>
      <c r="AR92" s="332"/>
      <c r="AS92" s="332"/>
      <c r="AT92" s="332"/>
      <c r="AU92" s="332"/>
      <c r="AV92" s="332"/>
      <c r="AW92" s="332"/>
      <c r="AX92" s="332"/>
      <c r="AY92" s="332"/>
      <c r="AZ92" s="332"/>
      <c r="BA92" s="332"/>
      <c r="BB92" s="332"/>
      <c r="BC92" s="332"/>
      <c r="BD92" s="332"/>
      <c r="BE92" s="332"/>
      <c r="BF92" s="332"/>
      <c r="BG92" s="332"/>
      <c r="BH92" s="332"/>
      <c r="BI92" s="332"/>
    </row>
    <row r="93" spans="1:61" ht="15.75" customHeight="1" x14ac:dyDescent="0.25">
      <c r="A93" s="332"/>
      <c r="B93" s="332"/>
      <c r="C93" s="332"/>
      <c r="D93" s="332"/>
      <c r="E93" s="332"/>
      <c r="F93" s="332"/>
      <c r="G93" s="332"/>
      <c r="H93" s="332"/>
      <c r="I93" s="332"/>
      <c r="J93" s="332"/>
      <c r="K93" s="332"/>
      <c r="L93" s="332"/>
      <c r="M93" s="332"/>
      <c r="N93" s="332"/>
      <c r="O93" s="332"/>
      <c r="P93" s="332"/>
      <c r="Q93" s="332"/>
      <c r="R93" s="332"/>
      <c r="S93" s="332"/>
      <c r="T93" s="332"/>
      <c r="U93" s="332"/>
      <c r="V93" s="332"/>
      <c r="W93" s="332"/>
      <c r="X93" s="332"/>
      <c r="Y93" s="332"/>
      <c r="Z93" s="332"/>
      <c r="AA93" s="332"/>
      <c r="AB93" s="332"/>
      <c r="AC93" s="332"/>
      <c r="AD93" s="332"/>
      <c r="AE93" s="332"/>
      <c r="AF93" s="332"/>
      <c r="AG93" s="332"/>
      <c r="AH93" s="332"/>
      <c r="AI93" s="332"/>
      <c r="AJ93" s="332"/>
      <c r="AK93" s="332"/>
      <c r="AL93" s="332"/>
      <c r="AM93" s="332"/>
      <c r="AN93" s="332"/>
      <c r="AO93" s="332"/>
      <c r="AP93" s="332"/>
      <c r="AQ93" s="332"/>
      <c r="AR93" s="332"/>
      <c r="AS93" s="332"/>
      <c r="AT93" s="332"/>
      <c r="AU93" s="332"/>
      <c r="AV93" s="332"/>
      <c r="AW93" s="332"/>
      <c r="AX93" s="332"/>
      <c r="AY93" s="332"/>
      <c r="AZ93" s="332"/>
      <c r="BA93" s="332"/>
      <c r="BB93" s="332"/>
      <c r="BC93" s="332"/>
      <c r="BD93" s="332"/>
      <c r="BE93" s="332"/>
      <c r="BF93" s="332"/>
      <c r="BG93" s="332"/>
      <c r="BH93" s="332"/>
      <c r="BI93" s="332"/>
    </row>
    <row r="94" spans="1:61" ht="15.75" customHeight="1" x14ac:dyDescent="0.25">
      <c r="A94" s="332"/>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332"/>
      <c r="AF94" s="332"/>
      <c r="AG94" s="332"/>
      <c r="AH94" s="332"/>
      <c r="AI94" s="332"/>
      <c r="AJ94" s="332"/>
      <c r="AK94" s="332"/>
      <c r="AL94" s="332"/>
      <c r="AM94" s="332"/>
      <c r="AN94" s="332"/>
      <c r="AO94" s="332"/>
      <c r="AP94" s="332"/>
      <c r="AQ94" s="332"/>
      <c r="AR94" s="332"/>
      <c r="AS94" s="332"/>
      <c r="AT94" s="332"/>
      <c r="AU94" s="332"/>
      <c r="AV94" s="332"/>
      <c r="AW94" s="332"/>
      <c r="AX94" s="332"/>
      <c r="AY94" s="332"/>
      <c r="AZ94" s="332"/>
      <c r="BA94" s="332"/>
      <c r="BB94" s="332"/>
      <c r="BC94" s="332"/>
      <c r="BD94" s="332"/>
      <c r="BE94" s="332"/>
      <c r="BF94" s="332"/>
      <c r="BG94" s="332"/>
      <c r="BH94" s="332"/>
      <c r="BI94" s="332"/>
    </row>
    <row r="95" spans="1:61" ht="15.75" customHeight="1" x14ac:dyDescent="0.25">
      <c r="A95" s="332"/>
      <c r="B95" s="332"/>
      <c r="C95" s="332"/>
      <c r="D95" s="332"/>
      <c r="E95" s="332"/>
      <c r="F95" s="332"/>
      <c r="G95" s="332"/>
      <c r="H95" s="332"/>
      <c r="I95" s="332"/>
      <c r="J95" s="332"/>
      <c r="K95" s="332"/>
      <c r="L95" s="332"/>
      <c r="M95" s="332"/>
      <c r="N95" s="332"/>
      <c r="O95" s="332"/>
      <c r="P95" s="332"/>
      <c r="Q95" s="332"/>
      <c r="R95" s="332"/>
      <c r="S95" s="332"/>
      <c r="T95" s="332"/>
      <c r="U95" s="332"/>
      <c r="V95" s="332"/>
      <c r="W95" s="332"/>
      <c r="X95" s="332"/>
      <c r="Y95" s="332"/>
      <c r="Z95" s="332"/>
      <c r="AA95" s="332"/>
      <c r="AB95" s="332"/>
      <c r="AC95" s="332"/>
      <c r="AD95" s="332"/>
      <c r="AE95" s="332"/>
      <c r="AF95" s="332"/>
      <c r="AG95" s="332"/>
      <c r="AH95" s="332"/>
      <c r="AI95" s="332"/>
      <c r="AJ95" s="332"/>
      <c r="AK95" s="332"/>
      <c r="AL95" s="332"/>
      <c r="AM95" s="332"/>
      <c r="AN95" s="332"/>
      <c r="AO95" s="332"/>
      <c r="AP95" s="332"/>
      <c r="AQ95" s="332"/>
      <c r="AR95" s="332"/>
      <c r="AS95" s="332"/>
      <c r="AT95" s="332"/>
      <c r="AU95" s="332"/>
      <c r="AV95" s="332"/>
      <c r="AW95" s="332"/>
      <c r="AX95" s="332"/>
      <c r="AY95" s="332"/>
      <c r="AZ95" s="332"/>
      <c r="BA95" s="332"/>
      <c r="BB95" s="332"/>
      <c r="BC95" s="332"/>
      <c r="BD95" s="332"/>
      <c r="BE95" s="332"/>
      <c r="BF95" s="332"/>
      <c r="BG95" s="332"/>
      <c r="BH95" s="332"/>
      <c r="BI95" s="332"/>
    </row>
    <row r="96" spans="1:61" ht="15.75" customHeight="1" x14ac:dyDescent="0.25">
      <c r="A96" s="332"/>
      <c r="B96" s="332"/>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2"/>
      <c r="AD96" s="332"/>
      <c r="AE96" s="332"/>
      <c r="AF96" s="332"/>
      <c r="AG96" s="332"/>
      <c r="AH96" s="332"/>
      <c r="AI96" s="332"/>
      <c r="AJ96" s="332"/>
      <c r="AK96" s="332"/>
      <c r="AL96" s="332"/>
      <c r="AM96" s="332"/>
      <c r="AN96" s="332"/>
      <c r="AO96" s="332"/>
      <c r="AP96" s="332"/>
      <c r="AQ96" s="332"/>
      <c r="AR96" s="332"/>
      <c r="AS96" s="332"/>
      <c r="AT96" s="332"/>
      <c r="AU96" s="332"/>
      <c r="AV96" s="332"/>
      <c r="AW96" s="332"/>
      <c r="AX96" s="332"/>
      <c r="AY96" s="332"/>
      <c r="AZ96" s="332"/>
      <c r="BA96" s="332"/>
      <c r="BB96" s="332"/>
      <c r="BC96" s="332"/>
      <c r="BD96" s="332"/>
      <c r="BE96" s="332"/>
      <c r="BF96" s="332"/>
      <c r="BG96" s="332"/>
      <c r="BH96" s="332"/>
      <c r="BI96" s="332"/>
    </row>
    <row r="97" spans="1:61" ht="15.75" customHeight="1" x14ac:dyDescent="0.25">
      <c r="A97" s="332"/>
      <c r="B97" s="332"/>
      <c r="C97" s="332"/>
      <c r="D97" s="332"/>
      <c r="E97" s="332"/>
      <c r="F97" s="332"/>
      <c r="G97" s="332"/>
      <c r="H97" s="332"/>
      <c r="I97" s="332"/>
      <c r="J97" s="332"/>
      <c r="K97" s="332"/>
      <c r="L97" s="332"/>
      <c r="M97" s="332"/>
      <c r="N97" s="332"/>
      <c r="O97" s="332"/>
      <c r="P97" s="332"/>
      <c r="Q97" s="332"/>
      <c r="R97" s="332"/>
      <c r="S97" s="332"/>
      <c r="T97" s="332"/>
      <c r="U97" s="332"/>
      <c r="V97" s="332"/>
      <c r="W97" s="332"/>
      <c r="X97" s="332"/>
      <c r="Y97" s="332"/>
      <c r="Z97" s="332"/>
      <c r="AA97" s="332"/>
      <c r="AB97" s="332"/>
      <c r="AC97" s="332"/>
      <c r="AD97" s="332"/>
      <c r="AE97" s="332"/>
      <c r="AF97" s="332"/>
      <c r="AG97" s="332"/>
      <c r="AH97" s="332"/>
      <c r="AI97" s="332"/>
      <c r="AJ97" s="332"/>
      <c r="AK97" s="332"/>
      <c r="AL97" s="332"/>
      <c r="AM97" s="332"/>
      <c r="AN97" s="332"/>
      <c r="AO97" s="332"/>
      <c r="AP97" s="332"/>
      <c r="AQ97" s="332"/>
      <c r="AR97" s="332"/>
      <c r="AS97" s="332"/>
      <c r="AT97" s="332"/>
      <c r="AU97" s="332"/>
      <c r="AV97" s="332"/>
      <c r="AW97" s="332"/>
      <c r="AX97" s="332"/>
      <c r="AY97" s="332"/>
      <c r="AZ97" s="332"/>
      <c r="BA97" s="332"/>
      <c r="BB97" s="332"/>
      <c r="BC97" s="332"/>
      <c r="BD97" s="332"/>
      <c r="BE97" s="332"/>
      <c r="BF97" s="332"/>
      <c r="BG97" s="332"/>
      <c r="BH97" s="332"/>
      <c r="BI97" s="332"/>
    </row>
    <row r="98" spans="1:61" ht="15.75" customHeight="1" x14ac:dyDescent="0.25">
      <c r="A98" s="332"/>
      <c r="B98" s="332"/>
      <c r="C98" s="332"/>
      <c r="D98" s="332"/>
      <c r="E98" s="332"/>
      <c r="F98" s="332"/>
      <c r="G98" s="332"/>
      <c r="H98" s="332"/>
      <c r="I98" s="332"/>
      <c r="J98" s="332"/>
      <c r="K98" s="332"/>
      <c r="L98" s="332"/>
      <c r="M98" s="332"/>
      <c r="N98" s="332"/>
      <c r="O98" s="332"/>
      <c r="P98" s="332"/>
      <c r="Q98" s="332"/>
      <c r="R98" s="332"/>
      <c r="S98" s="332"/>
      <c r="T98" s="332"/>
      <c r="U98" s="332"/>
      <c r="V98" s="332"/>
      <c r="W98" s="332"/>
      <c r="X98" s="332"/>
      <c r="Y98" s="332"/>
      <c r="Z98" s="332"/>
      <c r="AA98" s="332"/>
      <c r="AB98" s="332"/>
      <c r="AC98" s="332"/>
      <c r="AD98" s="332"/>
      <c r="AE98" s="332"/>
      <c r="AF98" s="332"/>
      <c r="AG98" s="332"/>
      <c r="AH98" s="332"/>
      <c r="AI98" s="332"/>
      <c r="AJ98" s="332"/>
      <c r="AK98" s="332"/>
      <c r="AL98" s="332"/>
      <c r="AM98" s="332"/>
      <c r="AN98" s="332"/>
      <c r="AO98" s="332"/>
      <c r="AP98" s="332"/>
      <c r="AQ98" s="332"/>
      <c r="AR98" s="332"/>
      <c r="AS98" s="332"/>
      <c r="AT98" s="332"/>
      <c r="AU98" s="332"/>
      <c r="AV98" s="332"/>
      <c r="AW98" s="332"/>
      <c r="AX98" s="332"/>
      <c r="AY98" s="332"/>
      <c r="AZ98" s="332"/>
      <c r="BA98" s="332"/>
      <c r="BB98" s="332"/>
      <c r="BC98" s="332"/>
      <c r="BD98" s="332"/>
      <c r="BE98" s="332"/>
      <c r="BF98" s="332"/>
      <c r="BG98" s="332"/>
      <c r="BH98" s="332"/>
      <c r="BI98" s="332"/>
    </row>
    <row r="99" spans="1:61" ht="15.75" customHeight="1" x14ac:dyDescent="0.25">
      <c r="A99" s="332"/>
      <c r="B99" s="332"/>
      <c r="C99" s="332"/>
      <c r="D99" s="332"/>
      <c r="E99" s="332"/>
      <c r="F99" s="332"/>
      <c r="G99" s="332"/>
      <c r="H99" s="332"/>
      <c r="I99" s="332"/>
      <c r="J99" s="332"/>
      <c r="K99" s="332"/>
      <c r="L99" s="332"/>
      <c r="M99" s="332"/>
      <c r="N99" s="332"/>
      <c r="O99" s="332"/>
      <c r="P99" s="332"/>
      <c r="Q99" s="332"/>
      <c r="R99" s="332"/>
      <c r="S99" s="332"/>
      <c r="T99" s="332"/>
      <c r="U99" s="332"/>
      <c r="V99" s="332"/>
      <c r="W99" s="332"/>
      <c r="X99" s="332"/>
      <c r="Y99" s="332"/>
      <c r="Z99" s="332"/>
      <c r="AA99" s="332"/>
      <c r="AB99" s="332"/>
      <c r="AC99" s="332"/>
      <c r="AD99" s="332"/>
      <c r="AE99" s="332"/>
      <c r="AF99" s="332"/>
      <c r="AG99" s="332"/>
      <c r="AH99" s="332"/>
      <c r="AI99" s="332"/>
      <c r="AJ99" s="332"/>
      <c r="AK99" s="332"/>
      <c r="AL99" s="332"/>
      <c r="AM99" s="332"/>
      <c r="AN99" s="332"/>
      <c r="AO99" s="332"/>
      <c r="AP99" s="332"/>
      <c r="AQ99" s="332"/>
      <c r="AR99" s="332"/>
      <c r="AS99" s="332"/>
      <c r="AT99" s="332"/>
      <c r="AU99" s="332"/>
      <c r="AV99" s="332"/>
      <c r="AW99" s="332"/>
      <c r="AX99" s="332"/>
      <c r="AY99" s="332"/>
      <c r="AZ99" s="332"/>
      <c r="BA99" s="332"/>
      <c r="BB99" s="332"/>
      <c r="BC99" s="332"/>
      <c r="BD99" s="332"/>
      <c r="BE99" s="332"/>
      <c r="BF99" s="332"/>
      <c r="BG99" s="332"/>
      <c r="BH99" s="332"/>
      <c r="BI99" s="332"/>
    </row>
    <row r="100" spans="1:61" ht="15.75" customHeight="1" x14ac:dyDescent="0.25">
      <c r="A100" s="332"/>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c r="AF100" s="332"/>
      <c r="AG100" s="332"/>
      <c r="AH100" s="332"/>
      <c r="AI100" s="332"/>
      <c r="AJ100" s="332"/>
      <c r="AK100" s="332"/>
      <c r="AL100" s="332"/>
      <c r="AM100" s="332"/>
      <c r="AN100" s="332"/>
      <c r="AO100" s="332"/>
      <c r="AP100" s="332"/>
      <c r="AQ100" s="332"/>
      <c r="AR100" s="332"/>
      <c r="AS100" s="332"/>
      <c r="AT100" s="332"/>
      <c r="AU100" s="332"/>
      <c r="AV100" s="332"/>
      <c r="AW100" s="332"/>
      <c r="AX100" s="332"/>
      <c r="AY100" s="332"/>
      <c r="AZ100" s="332"/>
      <c r="BA100" s="332"/>
      <c r="BB100" s="332"/>
      <c r="BC100" s="332"/>
      <c r="BD100" s="332"/>
      <c r="BE100" s="332"/>
      <c r="BF100" s="332"/>
      <c r="BG100" s="332"/>
      <c r="BH100" s="332"/>
      <c r="BI100" s="332"/>
    </row>
    <row r="101" spans="1:61" ht="15.75" customHeight="1" x14ac:dyDescent="0.25">
      <c r="A101" s="332"/>
      <c r="B101" s="332"/>
      <c r="C101" s="332"/>
      <c r="D101" s="332"/>
      <c r="E101" s="332"/>
      <c r="F101" s="332"/>
      <c r="G101" s="332"/>
      <c r="H101" s="332"/>
      <c r="I101" s="332"/>
      <c r="J101" s="332"/>
      <c r="K101" s="332"/>
      <c r="L101" s="332"/>
      <c r="M101" s="332"/>
      <c r="N101" s="332"/>
      <c r="O101" s="332"/>
      <c r="P101" s="332"/>
      <c r="Q101" s="332"/>
      <c r="R101" s="332"/>
      <c r="S101" s="332"/>
      <c r="T101" s="332"/>
      <c r="U101" s="332"/>
      <c r="V101" s="332"/>
      <c r="W101" s="332"/>
      <c r="X101" s="332"/>
      <c r="Y101" s="332"/>
      <c r="Z101" s="332"/>
      <c r="AA101" s="332"/>
      <c r="AB101" s="332"/>
      <c r="AC101" s="332"/>
      <c r="AD101" s="332"/>
      <c r="AE101" s="332"/>
      <c r="AF101" s="332"/>
      <c r="AG101" s="332"/>
      <c r="AH101" s="332"/>
      <c r="AI101" s="332"/>
      <c r="AJ101" s="332"/>
      <c r="AK101" s="332"/>
      <c r="AL101" s="332"/>
      <c r="AM101" s="332"/>
      <c r="AN101" s="332"/>
      <c r="AO101" s="332"/>
      <c r="AP101" s="332"/>
      <c r="AQ101" s="332"/>
      <c r="AR101" s="332"/>
      <c r="AS101" s="332"/>
      <c r="AT101" s="332"/>
      <c r="AU101" s="332"/>
      <c r="AV101" s="332"/>
      <c r="AW101" s="332"/>
      <c r="AX101" s="332"/>
      <c r="AY101" s="332"/>
      <c r="AZ101" s="332"/>
      <c r="BA101" s="332"/>
      <c r="BB101" s="332"/>
      <c r="BC101" s="332"/>
      <c r="BD101" s="332"/>
      <c r="BE101" s="332"/>
      <c r="BF101" s="332"/>
      <c r="BG101" s="332"/>
      <c r="BH101" s="332"/>
      <c r="BI101" s="332"/>
    </row>
    <row r="102" spans="1:61" ht="15.75" customHeight="1" x14ac:dyDescent="0.25">
      <c r="A102" s="332"/>
      <c r="B102" s="332"/>
      <c r="C102" s="332"/>
      <c r="D102" s="332"/>
      <c r="E102" s="332"/>
      <c r="F102" s="332"/>
      <c r="G102" s="332"/>
      <c r="H102" s="332"/>
      <c r="I102" s="332"/>
      <c r="J102" s="332"/>
      <c r="K102" s="332"/>
      <c r="L102" s="332"/>
      <c r="M102" s="332"/>
      <c r="N102" s="332"/>
      <c r="O102" s="332"/>
      <c r="P102" s="332"/>
      <c r="Q102" s="332"/>
      <c r="R102" s="332"/>
      <c r="S102" s="332"/>
      <c r="T102" s="332"/>
      <c r="U102" s="332"/>
      <c r="V102" s="332"/>
      <c r="W102" s="332"/>
      <c r="X102" s="332"/>
      <c r="Y102" s="332"/>
      <c r="Z102" s="332"/>
      <c r="AA102" s="332"/>
      <c r="AB102" s="332"/>
      <c r="AC102" s="332"/>
      <c r="AD102" s="332"/>
      <c r="AE102" s="332"/>
      <c r="AF102" s="332"/>
      <c r="AG102" s="332"/>
      <c r="AH102" s="332"/>
      <c r="AI102" s="332"/>
      <c r="AJ102" s="332"/>
      <c r="AK102" s="332"/>
      <c r="AL102" s="332"/>
      <c r="AM102" s="332"/>
      <c r="AN102" s="332"/>
      <c r="AO102" s="332"/>
      <c r="AP102" s="332"/>
      <c r="AQ102" s="332"/>
      <c r="AR102" s="332"/>
      <c r="AS102" s="332"/>
      <c r="AT102" s="332"/>
      <c r="AU102" s="332"/>
      <c r="AV102" s="332"/>
      <c r="AW102" s="332"/>
      <c r="AX102" s="332"/>
      <c r="AY102" s="332"/>
      <c r="AZ102" s="332"/>
      <c r="BA102" s="332"/>
      <c r="BB102" s="332"/>
      <c r="BC102" s="332"/>
      <c r="BD102" s="332"/>
      <c r="BE102" s="332"/>
      <c r="BF102" s="332"/>
      <c r="BG102" s="332"/>
      <c r="BH102" s="332"/>
      <c r="BI102" s="332"/>
    </row>
    <row r="103" spans="1:61" ht="15.75" customHeight="1" x14ac:dyDescent="0.25">
      <c r="A103" s="332"/>
      <c r="B103" s="332"/>
      <c r="C103" s="332"/>
      <c r="D103" s="332"/>
      <c r="E103" s="332"/>
      <c r="F103" s="332"/>
      <c r="G103" s="332"/>
      <c r="H103" s="332"/>
      <c r="I103" s="332"/>
      <c r="J103" s="332"/>
      <c r="K103" s="332"/>
      <c r="L103" s="332"/>
      <c r="M103" s="332"/>
      <c r="N103" s="332"/>
      <c r="O103" s="332"/>
      <c r="P103" s="332"/>
      <c r="Q103" s="332"/>
      <c r="R103" s="332"/>
      <c r="S103" s="332"/>
      <c r="T103" s="332"/>
      <c r="U103" s="332"/>
      <c r="V103" s="332"/>
      <c r="W103" s="332"/>
      <c r="X103" s="332"/>
      <c r="Y103" s="332"/>
      <c r="Z103" s="332"/>
      <c r="AA103" s="332"/>
      <c r="AB103" s="332"/>
      <c r="AC103" s="332"/>
      <c r="AD103" s="332"/>
      <c r="AE103" s="332"/>
      <c r="AF103" s="332"/>
      <c r="AG103" s="332"/>
      <c r="AH103" s="332"/>
      <c r="AI103" s="332"/>
      <c r="AJ103" s="332"/>
      <c r="AK103" s="332"/>
      <c r="AL103" s="332"/>
      <c r="AM103" s="332"/>
      <c r="AN103" s="332"/>
      <c r="AO103" s="332"/>
      <c r="AP103" s="332"/>
      <c r="AQ103" s="332"/>
      <c r="AR103" s="332"/>
      <c r="AS103" s="332"/>
      <c r="AT103" s="332"/>
      <c r="AU103" s="332"/>
      <c r="AV103" s="332"/>
      <c r="AW103" s="332"/>
      <c r="AX103" s="332"/>
      <c r="AY103" s="332"/>
      <c r="AZ103" s="332"/>
      <c r="BA103" s="332"/>
      <c r="BB103" s="332"/>
      <c r="BC103" s="332"/>
      <c r="BD103" s="332"/>
      <c r="BE103" s="332"/>
      <c r="BF103" s="332"/>
      <c r="BG103" s="332"/>
      <c r="BH103" s="332"/>
      <c r="BI103" s="332"/>
    </row>
    <row r="104" spans="1:61" ht="15.75" customHeight="1" x14ac:dyDescent="0.25">
      <c r="A104" s="332"/>
      <c r="B104" s="332"/>
      <c r="C104" s="332"/>
      <c r="D104" s="332"/>
      <c r="E104" s="332"/>
      <c r="F104" s="332"/>
      <c r="G104" s="332"/>
      <c r="H104" s="332"/>
      <c r="I104" s="332"/>
      <c r="J104" s="332"/>
      <c r="K104" s="332"/>
      <c r="L104" s="332"/>
      <c r="M104" s="332"/>
      <c r="N104" s="332"/>
      <c r="O104" s="332"/>
      <c r="P104" s="332"/>
      <c r="Q104" s="332"/>
      <c r="R104" s="332"/>
      <c r="S104" s="332"/>
      <c r="T104" s="332"/>
      <c r="U104" s="332"/>
      <c r="V104" s="332"/>
      <c r="W104" s="332"/>
      <c r="X104" s="332"/>
      <c r="Y104" s="332"/>
      <c r="Z104" s="332"/>
      <c r="AA104" s="332"/>
      <c r="AB104" s="332"/>
      <c r="AC104" s="332"/>
      <c r="AD104" s="332"/>
      <c r="AE104" s="332"/>
      <c r="AF104" s="332"/>
      <c r="AG104" s="332"/>
      <c r="AH104" s="332"/>
      <c r="AI104" s="332"/>
      <c r="AJ104" s="332"/>
      <c r="AK104" s="332"/>
      <c r="AL104" s="332"/>
      <c r="AM104" s="332"/>
      <c r="AN104" s="332"/>
      <c r="AO104" s="332"/>
      <c r="AP104" s="332"/>
      <c r="AQ104" s="332"/>
      <c r="AR104" s="332"/>
      <c r="AS104" s="332"/>
      <c r="AT104" s="332"/>
      <c r="AU104" s="332"/>
      <c r="AV104" s="332"/>
      <c r="AW104" s="332"/>
      <c r="AX104" s="332"/>
      <c r="AY104" s="332"/>
      <c r="AZ104" s="332"/>
      <c r="BA104" s="332"/>
      <c r="BB104" s="332"/>
      <c r="BC104" s="332"/>
      <c r="BD104" s="332"/>
      <c r="BE104" s="332"/>
      <c r="BF104" s="332"/>
      <c r="BG104" s="332"/>
      <c r="BH104" s="332"/>
      <c r="BI104" s="332"/>
    </row>
    <row r="105" spans="1:61" ht="15.75" customHeight="1" x14ac:dyDescent="0.25">
      <c r="A105" s="332"/>
      <c r="B105" s="332"/>
      <c r="C105" s="332"/>
      <c r="D105" s="332"/>
      <c r="E105" s="332"/>
      <c r="F105" s="332"/>
      <c r="G105" s="332"/>
      <c r="H105" s="332"/>
      <c r="I105" s="332"/>
      <c r="J105" s="332"/>
      <c r="K105" s="332"/>
      <c r="L105" s="332"/>
      <c r="M105" s="332"/>
      <c r="N105" s="332"/>
      <c r="O105" s="332"/>
      <c r="P105" s="332"/>
      <c r="Q105" s="332"/>
      <c r="R105" s="332"/>
      <c r="S105" s="332"/>
      <c r="T105" s="332"/>
      <c r="U105" s="332"/>
      <c r="V105" s="332"/>
      <c r="W105" s="332"/>
      <c r="X105" s="332"/>
      <c r="Y105" s="332"/>
      <c r="Z105" s="332"/>
      <c r="AA105" s="332"/>
      <c r="AB105" s="332"/>
      <c r="AC105" s="332"/>
      <c r="AD105" s="332"/>
      <c r="AE105" s="332"/>
      <c r="AF105" s="332"/>
      <c r="AG105" s="332"/>
      <c r="AH105" s="332"/>
      <c r="AI105" s="332"/>
      <c r="AJ105" s="332"/>
      <c r="AK105" s="332"/>
      <c r="AL105" s="332"/>
      <c r="AM105" s="332"/>
      <c r="AN105" s="332"/>
      <c r="AO105" s="332"/>
      <c r="AP105" s="332"/>
      <c r="AQ105" s="332"/>
      <c r="AR105" s="332"/>
      <c r="AS105" s="332"/>
      <c r="AT105" s="332"/>
      <c r="AU105" s="332"/>
      <c r="AV105" s="332"/>
      <c r="AW105" s="332"/>
      <c r="AX105" s="332"/>
      <c r="AY105" s="332"/>
      <c r="AZ105" s="332"/>
      <c r="BA105" s="332"/>
      <c r="BB105" s="332"/>
      <c r="BC105" s="332"/>
      <c r="BD105" s="332"/>
      <c r="BE105" s="332"/>
      <c r="BF105" s="332"/>
      <c r="BG105" s="332"/>
      <c r="BH105" s="332"/>
      <c r="BI105" s="332"/>
    </row>
    <row r="106" spans="1:61" ht="15.75" customHeight="1" x14ac:dyDescent="0.25">
      <c r="A106" s="332"/>
      <c r="B106" s="332"/>
      <c r="C106" s="332"/>
      <c r="D106" s="332"/>
      <c r="E106" s="332"/>
      <c r="F106" s="332"/>
      <c r="G106" s="332"/>
      <c r="H106" s="332"/>
      <c r="I106" s="332"/>
      <c r="J106" s="332"/>
      <c r="K106" s="332"/>
      <c r="L106" s="332"/>
      <c r="M106" s="332"/>
      <c r="N106" s="332"/>
      <c r="O106" s="332"/>
      <c r="P106" s="332"/>
      <c r="Q106" s="332"/>
      <c r="R106" s="332"/>
      <c r="S106" s="332"/>
      <c r="T106" s="332"/>
      <c r="U106" s="332"/>
      <c r="V106" s="332"/>
      <c r="W106" s="332"/>
      <c r="X106" s="332"/>
      <c r="Y106" s="332"/>
      <c r="Z106" s="332"/>
      <c r="AA106" s="332"/>
      <c r="AB106" s="332"/>
      <c r="AC106" s="332"/>
      <c r="AD106" s="332"/>
      <c r="AE106" s="332"/>
      <c r="AF106" s="332"/>
      <c r="AG106" s="332"/>
      <c r="AH106" s="332"/>
      <c r="AI106" s="332"/>
      <c r="AJ106" s="332"/>
      <c r="AK106" s="332"/>
      <c r="AL106" s="332"/>
      <c r="AM106" s="332"/>
      <c r="AN106" s="332"/>
      <c r="AO106" s="332"/>
      <c r="AP106" s="332"/>
      <c r="AQ106" s="332"/>
      <c r="AR106" s="332"/>
      <c r="AS106" s="332"/>
      <c r="AT106" s="332"/>
      <c r="AU106" s="332"/>
      <c r="AV106" s="332"/>
      <c r="AW106" s="332"/>
      <c r="AX106" s="332"/>
      <c r="AY106" s="332"/>
      <c r="AZ106" s="332"/>
      <c r="BA106" s="332"/>
      <c r="BB106" s="332"/>
      <c r="BC106" s="332"/>
      <c r="BD106" s="332"/>
      <c r="BE106" s="332"/>
      <c r="BF106" s="332"/>
      <c r="BG106" s="332"/>
      <c r="BH106" s="332"/>
      <c r="BI106" s="332"/>
    </row>
    <row r="107" spans="1:61" ht="15.75" customHeight="1" x14ac:dyDescent="0.25">
      <c r="A107" s="332"/>
      <c r="B107" s="332"/>
      <c r="C107" s="332"/>
      <c r="D107" s="332"/>
      <c r="E107" s="332"/>
      <c r="F107" s="332"/>
      <c r="G107" s="332"/>
      <c r="H107" s="332"/>
      <c r="I107" s="332"/>
      <c r="J107" s="332"/>
      <c r="K107" s="332"/>
      <c r="L107" s="332"/>
      <c r="M107" s="332"/>
      <c r="N107" s="332"/>
      <c r="O107" s="332"/>
      <c r="P107" s="332"/>
      <c r="Q107" s="332"/>
      <c r="R107" s="332"/>
      <c r="S107" s="332"/>
      <c r="T107" s="332"/>
      <c r="U107" s="332"/>
      <c r="V107" s="332"/>
      <c r="W107" s="332"/>
      <c r="X107" s="332"/>
      <c r="Y107" s="332"/>
      <c r="Z107" s="332"/>
      <c r="AA107" s="332"/>
      <c r="AB107" s="332"/>
      <c r="AC107" s="332"/>
      <c r="AD107" s="332"/>
      <c r="AE107" s="332"/>
      <c r="AF107" s="332"/>
      <c r="AG107" s="332"/>
      <c r="AH107" s="332"/>
      <c r="AI107" s="332"/>
      <c r="AJ107" s="332"/>
      <c r="AK107" s="332"/>
      <c r="AL107" s="332"/>
      <c r="AM107" s="332"/>
      <c r="AN107" s="332"/>
      <c r="AO107" s="332"/>
      <c r="AP107" s="332"/>
      <c r="AQ107" s="332"/>
      <c r="AR107" s="332"/>
      <c r="AS107" s="332"/>
      <c r="AT107" s="332"/>
      <c r="AU107" s="332"/>
      <c r="AV107" s="332"/>
      <c r="AW107" s="332"/>
      <c r="AX107" s="332"/>
      <c r="AY107" s="332"/>
      <c r="AZ107" s="332"/>
      <c r="BA107" s="332"/>
      <c r="BB107" s="332"/>
      <c r="BC107" s="332"/>
      <c r="BD107" s="332"/>
      <c r="BE107" s="332"/>
      <c r="BF107" s="332"/>
      <c r="BG107" s="332"/>
      <c r="BH107" s="332"/>
      <c r="BI107" s="332"/>
    </row>
    <row r="108" spans="1:61" ht="15.75" customHeight="1" x14ac:dyDescent="0.25">
      <c r="A108" s="332"/>
      <c r="B108" s="332"/>
      <c r="C108" s="332"/>
      <c r="D108" s="332"/>
      <c r="E108" s="332"/>
      <c r="F108" s="332"/>
      <c r="G108" s="332"/>
      <c r="H108" s="332"/>
      <c r="I108" s="332"/>
      <c r="J108" s="332"/>
      <c r="K108" s="332"/>
      <c r="L108" s="332"/>
      <c r="M108" s="332"/>
      <c r="N108" s="332"/>
      <c r="O108" s="332"/>
      <c r="P108" s="332"/>
      <c r="Q108" s="332"/>
      <c r="R108" s="332"/>
      <c r="S108" s="332"/>
      <c r="T108" s="332"/>
      <c r="U108" s="332"/>
      <c r="V108" s="332"/>
      <c r="W108" s="332"/>
      <c r="X108" s="332"/>
      <c r="Y108" s="332"/>
      <c r="Z108" s="332"/>
      <c r="AA108" s="332"/>
      <c r="AB108" s="332"/>
      <c r="AC108" s="332"/>
      <c r="AD108" s="332"/>
      <c r="AE108" s="332"/>
      <c r="AF108" s="332"/>
      <c r="AG108" s="332"/>
      <c r="AH108" s="332"/>
      <c r="AI108" s="332"/>
      <c r="AJ108" s="332"/>
      <c r="AK108" s="332"/>
      <c r="AL108" s="332"/>
      <c r="AM108" s="332"/>
      <c r="AN108" s="332"/>
      <c r="AO108" s="332"/>
      <c r="AP108" s="332"/>
      <c r="AQ108" s="332"/>
      <c r="AR108" s="332"/>
      <c r="AS108" s="332"/>
      <c r="AT108" s="332"/>
      <c r="AU108" s="332"/>
      <c r="AV108" s="332"/>
      <c r="AW108" s="332"/>
      <c r="AX108" s="332"/>
      <c r="AY108" s="332"/>
      <c r="AZ108" s="332"/>
      <c r="BA108" s="332"/>
      <c r="BB108" s="332"/>
      <c r="BC108" s="332"/>
      <c r="BD108" s="332"/>
      <c r="BE108" s="332"/>
      <c r="BF108" s="332"/>
      <c r="BG108" s="332"/>
      <c r="BH108" s="332"/>
      <c r="BI108" s="332"/>
    </row>
    <row r="109" spans="1:61" ht="15.75" customHeight="1" x14ac:dyDescent="0.25">
      <c r="A109" s="332"/>
      <c r="B109" s="332"/>
      <c r="C109" s="332"/>
      <c r="D109" s="332"/>
      <c r="E109" s="332"/>
      <c r="F109" s="332"/>
      <c r="G109" s="332"/>
      <c r="H109" s="332"/>
      <c r="I109" s="332"/>
      <c r="J109" s="332"/>
      <c r="K109" s="332"/>
      <c r="L109" s="332"/>
      <c r="M109" s="332"/>
      <c r="N109" s="332"/>
      <c r="O109" s="332"/>
      <c r="P109" s="332"/>
      <c r="Q109" s="332"/>
      <c r="R109" s="332"/>
      <c r="S109" s="332"/>
      <c r="T109" s="332"/>
      <c r="U109" s="332"/>
      <c r="V109" s="332"/>
      <c r="W109" s="332"/>
      <c r="X109" s="332"/>
      <c r="Y109" s="332"/>
      <c r="Z109" s="332"/>
      <c r="AA109" s="332"/>
      <c r="AB109" s="332"/>
      <c r="AC109" s="332"/>
      <c r="AD109" s="332"/>
      <c r="AE109" s="332"/>
      <c r="AF109" s="332"/>
      <c r="AG109" s="332"/>
      <c r="AH109" s="332"/>
      <c r="AI109" s="332"/>
      <c r="AJ109" s="332"/>
      <c r="AK109" s="332"/>
      <c r="AL109" s="332"/>
      <c r="AM109" s="332"/>
      <c r="AN109" s="332"/>
      <c r="AO109" s="332"/>
      <c r="AP109" s="332"/>
      <c r="AQ109" s="332"/>
      <c r="AR109" s="332"/>
      <c r="AS109" s="332"/>
      <c r="AT109" s="332"/>
      <c r="AU109" s="332"/>
      <c r="AV109" s="332"/>
      <c r="AW109" s="332"/>
      <c r="AX109" s="332"/>
      <c r="AY109" s="332"/>
      <c r="AZ109" s="332"/>
      <c r="BA109" s="332"/>
      <c r="BB109" s="332"/>
      <c r="BC109" s="332"/>
      <c r="BD109" s="332"/>
      <c r="BE109" s="332"/>
      <c r="BF109" s="332"/>
      <c r="BG109" s="332"/>
      <c r="BH109" s="332"/>
      <c r="BI109" s="332"/>
    </row>
    <row r="110" spans="1:61" ht="15.75" customHeight="1" x14ac:dyDescent="0.25">
      <c r="A110" s="332"/>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2"/>
      <c r="AD110" s="332"/>
      <c r="AE110" s="332"/>
      <c r="AF110" s="332"/>
      <c r="AG110" s="332"/>
      <c r="AH110" s="332"/>
      <c r="AI110" s="332"/>
      <c r="AJ110" s="332"/>
      <c r="AK110" s="332"/>
      <c r="AL110" s="332"/>
      <c r="AM110" s="332"/>
      <c r="AN110" s="332"/>
      <c r="AO110" s="332"/>
      <c r="AP110" s="332"/>
      <c r="AQ110" s="332"/>
      <c r="AR110" s="332"/>
      <c r="AS110" s="332"/>
      <c r="AT110" s="332"/>
      <c r="AU110" s="332"/>
      <c r="AV110" s="332"/>
      <c r="AW110" s="332"/>
      <c r="AX110" s="332"/>
      <c r="AY110" s="332"/>
      <c r="AZ110" s="332"/>
      <c r="BA110" s="332"/>
      <c r="BB110" s="332"/>
      <c r="BC110" s="332"/>
      <c r="BD110" s="332"/>
      <c r="BE110" s="332"/>
      <c r="BF110" s="332"/>
      <c r="BG110" s="332"/>
      <c r="BH110" s="332"/>
      <c r="BI110" s="332"/>
    </row>
    <row r="111" spans="1:61" ht="15.75" customHeight="1" x14ac:dyDescent="0.25">
      <c r="A111" s="332"/>
      <c r="B111" s="332"/>
      <c r="C111" s="332"/>
      <c r="D111" s="332"/>
      <c r="E111" s="332"/>
      <c r="F111" s="332"/>
      <c r="G111" s="332"/>
      <c r="H111" s="332"/>
      <c r="I111" s="332"/>
      <c r="J111" s="332"/>
      <c r="K111" s="332"/>
      <c r="L111" s="332"/>
      <c r="M111" s="332"/>
      <c r="N111" s="332"/>
      <c r="O111" s="332"/>
      <c r="P111" s="332"/>
      <c r="Q111" s="332"/>
      <c r="R111" s="332"/>
      <c r="S111" s="332"/>
      <c r="T111" s="332"/>
      <c r="U111" s="332"/>
      <c r="V111" s="332"/>
      <c r="W111" s="332"/>
      <c r="X111" s="332"/>
      <c r="Y111" s="332"/>
      <c r="Z111" s="332"/>
      <c r="AA111" s="332"/>
      <c r="AB111" s="332"/>
      <c r="AC111" s="332"/>
      <c r="AD111" s="332"/>
      <c r="AE111" s="332"/>
      <c r="AF111" s="332"/>
      <c r="AG111" s="332"/>
      <c r="AH111" s="332"/>
      <c r="AI111" s="332"/>
      <c r="AJ111" s="332"/>
      <c r="AK111" s="332"/>
      <c r="AL111" s="332"/>
      <c r="AM111" s="332"/>
      <c r="AN111" s="332"/>
      <c r="AO111" s="332"/>
      <c r="AP111" s="332"/>
      <c r="AQ111" s="332"/>
      <c r="AR111" s="332"/>
      <c r="AS111" s="332"/>
      <c r="AT111" s="332"/>
      <c r="AU111" s="332"/>
      <c r="AV111" s="332"/>
      <c r="AW111" s="332"/>
      <c r="AX111" s="332"/>
      <c r="AY111" s="332"/>
      <c r="AZ111" s="332"/>
      <c r="BA111" s="332"/>
      <c r="BB111" s="332"/>
      <c r="BC111" s="332"/>
      <c r="BD111" s="332"/>
      <c r="BE111" s="332"/>
      <c r="BF111" s="332"/>
      <c r="BG111" s="332"/>
      <c r="BH111" s="332"/>
      <c r="BI111" s="332"/>
    </row>
    <row r="112" spans="1:61" ht="15.75" customHeight="1" x14ac:dyDescent="0.25">
      <c r="A112" s="332"/>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2"/>
      <c r="AD112" s="332"/>
      <c r="AE112" s="332"/>
      <c r="AF112" s="332"/>
      <c r="AG112" s="332"/>
      <c r="AH112" s="332"/>
      <c r="AI112" s="332"/>
      <c r="AJ112" s="332"/>
      <c r="AK112" s="332"/>
      <c r="AL112" s="332"/>
      <c r="AM112" s="332"/>
      <c r="AN112" s="332"/>
      <c r="AO112" s="332"/>
      <c r="AP112" s="332"/>
      <c r="AQ112" s="332"/>
      <c r="AR112" s="332"/>
      <c r="AS112" s="332"/>
      <c r="AT112" s="332"/>
      <c r="AU112" s="332"/>
      <c r="AV112" s="332"/>
      <c r="AW112" s="332"/>
      <c r="AX112" s="332"/>
      <c r="AY112" s="332"/>
      <c r="AZ112" s="332"/>
      <c r="BA112" s="332"/>
      <c r="BB112" s="332"/>
      <c r="BC112" s="332"/>
      <c r="BD112" s="332"/>
      <c r="BE112" s="332"/>
      <c r="BF112" s="332"/>
      <c r="BG112" s="332"/>
      <c r="BH112" s="332"/>
      <c r="BI112" s="332"/>
    </row>
    <row r="113" spans="1:61" ht="15.75" customHeight="1" x14ac:dyDescent="0.25">
      <c r="A113" s="332"/>
      <c r="B113" s="332"/>
      <c r="C113" s="332"/>
      <c r="D113" s="332"/>
      <c r="E113" s="332"/>
      <c r="F113" s="332"/>
      <c r="G113" s="332"/>
      <c r="H113" s="332"/>
      <c r="I113" s="332"/>
      <c r="J113" s="332"/>
      <c r="K113" s="332"/>
      <c r="L113" s="332"/>
      <c r="M113" s="332"/>
      <c r="N113" s="332"/>
      <c r="O113" s="332"/>
      <c r="P113" s="332"/>
      <c r="Q113" s="332"/>
      <c r="R113" s="332"/>
      <c r="S113" s="332"/>
      <c r="T113" s="332"/>
      <c r="U113" s="332"/>
      <c r="V113" s="332"/>
      <c r="W113" s="332"/>
      <c r="X113" s="332"/>
      <c r="Y113" s="332"/>
      <c r="Z113" s="332"/>
      <c r="AA113" s="332"/>
      <c r="AB113" s="332"/>
      <c r="AC113" s="332"/>
      <c r="AD113" s="332"/>
      <c r="AE113" s="332"/>
      <c r="AF113" s="332"/>
      <c r="AG113" s="332"/>
      <c r="AH113" s="332"/>
      <c r="AI113" s="332"/>
      <c r="AJ113" s="332"/>
      <c r="AK113" s="332"/>
      <c r="AL113" s="332"/>
      <c r="AM113" s="332"/>
      <c r="AN113" s="332"/>
      <c r="AO113" s="332"/>
      <c r="AP113" s="332"/>
      <c r="AQ113" s="332"/>
      <c r="AR113" s="332"/>
      <c r="AS113" s="332"/>
      <c r="AT113" s="332"/>
      <c r="AU113" s="332"/>
      <c r="AV113" s="332"/>
      <c r="AW113" s="332"/>
      <c r="AX113" s="332"/>
      <c r="AY113" s="332"/>
      <c r="AZ113" s="332"/>
      <c r="BA113" s="332"/>
      <c r="BB113" s="332"/>
      <c r="BC113" s="332"/>
      <c r="BD113" s="332"/>
      <c r="BE113" s="332"/>
      <c r="BF113" s="332"/>
      <c r="BG113" s="332"/>
      <c r="BH113" s="332"/>
      <c r="BI113" s="332"/>
    </row>
    <row r="114" spans="1:61" ht="15.75" customHeight="1" x14ac:dyDescent="0.25">
      <c r="A114" s="332"/>
      <c r="B114" s="332"/>
      <c r="C114" s="332"/>
      <c r="D114" s="332"/>
      <c r="E114" s="332"/>
      <c r="F114" s="332"/>
      <c r="G114" s="332"/>
      <c r="H114" s="332"/>
      <c r="I114" s="332"/>
      <c r="J114" s="332"/>
      <c r="K114" s="332"/>
      <c r="L114" s="332"/>
      <c r="M114" s="332"/>
      <c r="N114" s="332"/>
      <c r="O114" s="332"/>
      <c r="P114" s="332"/>
      <c r="Q114" s="332"/>
      <c r="R114" s="332"/>
      <c r="S114" s="332"/>
      <c r="T114" s="332"/>
      <c r="U114" s="332"/>
      <c r="V114" s="332"/>
      <c r="W114" s="332"/>
      <c r="X114" s="332"/>
      <c r="Y114" s="332"/>
      <c r="Z114" s="332"/>
      <c r="AA114" s="332"/>
      <c r="AB114" s="332"/>
      <c r="AC114" s="332"/>
      <c r="AD114" s="332"/>
      <c r="AE114" s="332"/>
      <c r="AF114" s="332"/>
      <c r="AG114" s="332"/>
      <c r="AH114" s="332"/>
      <c r="AI114" s="332"/>
      <c r="AJ114" s="332"/>
      <c r="AK114" s="332"/>
      <c r="AL114" s="332"/>
      <c r="AM114" s="332"/>
      <c r="AN114" s="332"/>
      <c r="AO114" s="332"/>
      <c r="AP114" s="332"/>
      <c r="AQ114" s="332"/>
      <c r="AR114" s="332"/>
      <c r="AS114" s="332"/>
      <c r="AT114" s="332"/>
      <c r="AU114" s="332"/>
      <c r="AV114" s="332"/>
      <c r="AW114" s="332"/>
      <c r="AX114" s="332"/>
      <c r="AY114" s="332"/>
      <c r="AZ114" s="332"/>
      <c r="BA114" s="332"/>
      <c r="BB114" s="332"/>
      <c r="BC114" s="332"/>
      <c r="BD114" s="332"/>
      <c r="BE114" s="332"/>
      <c r="BF114" s="332"/>
      <c r="BG114" s="332"/>
      <c r="BH114" s="332"/>
      <c r="BI114" s="332"/>
    </row>
    <row r="115" spans="1:61" ht="15.75" customHeight="1" x14ac:dyDescent="0.25">
      <c r="A115" s="332"/>
      <c r="B115" s="332"/>
      <c r="C115" s="332"/>
      <c r="D115" s="332"/>
      <c r="E115" s="332"/>
      <c r="F115" s="332"/>
      <c r="G115" s="332"/>
      <c r="H115" s="332"/>
      <c r="I115" s="332"/>
      <c r="J115" s="332"/>
      <c r="K115" s="332"/>
      <c r="L115" s="332"/>
      <c r="M115" s="332"/>
      <c r="N115" s="332"/>
      <c r="O115" s="332"/>
      <c r="P115" s="332"/>
      <c r="Q115" s="332"/>
      <c r="R115" s="332"/>
      <c r="S115" s="332"/>
      <c r="T115" s="332"/>
      <c r="U115" s="332"/>
      <c r="V115" s="332"/>
      <c r="W115" s="332"/>
      <c r="X115" s="332"/>
      <c r="Y115" s="332"/>
      <c r="Z115" s="332"/>
      <c r="AA115" s="332"/>
      <c r="AB115" s="332"/>
      <c r="AC115" s="332"/>
      <c r="AD115" s="332"/>
      <c r="AE115" s="332"/>
      <c r="AF115" s="332"/>
      <c r="AG115" s="332"/>
      <c r="AH115" s="332"/>
      <c r="AI115" s="332"/>
      <c r="AJ115" s="332"/>
      <c r="AK115" s="332"/>
      <c r="AL115" s="332"/>
      <c r="AM115" s="332"/>
      <c r="AN115" s="332"/>
      <c r="AO115" s="332"/>
      <c r="AP115" s="332"/>
      <c r="AQ115" s="332"/>
      <c r="AR115" s="332"/>
      <c r="AS115" s="332"/>
      <c r="AT115" s="332"/>
      <c r="AU115" s="332"/>
      <c r="AV115" s="332"/>
      <c r="AW115" s="332"/>
      <c r="AX115" s="332"/>
      <c r="AY115" s="332"/>
      <c r="AZ115" s="332"/>
      <c r="BA115" s="332"/>
      <c r="BB115" s="332"/>
      <c r="BC115" s="332"/>
      <c r="BD115" s="332"/>
      <c r="BE115" s="332"/>
      <c r="BF115" s="332"/>
      <c r="BG115" s="332"/>
      <c r="BH115" s="332"/>
      <c r="BI115" s="332"/>
    </row>
    <row r="116" spans="1:61" ht="15.75" customHeight="1" x14ac:dyDescent="0.25">
      <c r="A116" s="332"/>
      <c r="B116" s="332"/>
      <c r="C116" s="332"/>
      <c r="D116" s="332"/>
      <c r="E116" s="332"/>
      <c r="F116" s="332"/>
      <c r="G116" s="332"/>
      <c r="H116" s="332"/>
      <c r="I116" s="332"/>
      <c r="J116" s="332"/>
      <c r="K116" s="332"/>
      <c r="L116" s="332"/>
      <c r="M116" s="332"/>
      <c r="N116" s="332"/>
      <c r="O116" s="332"/>
      <c r="P116" s="332"/>
      <c r="Q116" s="332"/>
      <c r="R116" s="332"/>
      <c r="S116" s="332"/>
      <c r="T116" s="332"/>
      <c r="U116" s="332"/>
      <c r="V116" s="332"/>
      <c r="W116" s="332"/>
      <c r="X116" s="332"/>
      <c r="Y116" s="332"/>
      <c r="Z116" s="332"/>
      <c r="AA116" s="332"/>
      <c r="AB116" s="332"/>
      <c r="AC116" s="332"/>
      <c r="AD116" s="332"/>
      <c r="AE116" s="332"/>
      <c r="AF116" s="332"/>
      <c r="AG116" s="332"/>
      <c r="AH116" s="332"/>
      <c r="AI116" s="332"/>
      <c r="AJ116" s="332"/>
      <c r="AK116" s="332"/>
      <c r="AL116" s="332"/>
      <c r="AM116" s="332"/>
      <c r="AN116" s="332"/>
      <c r="AO116" s="332"/>
      <c r="AP116" s="332"/>
      <c r="AQ116" s="332"/>
      <c r="AR116" s="332"/>
      <c r="AS116" s="332"/>
      <c r="AT116" s="332"/>
      <c r="AU116" s="332"/>
      <c r="AV116" s="332"/>
      <c r="AW116" s="332"/>
      <c r="AX116" s="332"/>
      <c r="AY116" s="332"/>
      <c r="AZ116" s="332"/>
      <c r="BA116" s="332"/>
      <c r="BB116" s="332"/>
      <c r="BC116" s="332"/>
      <c r="BD116" s="332"/>
      <c r="BE116" s="332"/>
      <c r="BF116" s="332"/>
      <c r="BG116" s="332"/>
      <c r="BH116" s="332"/>
      <c r="BI116" s="332"/>
    </row>
    <row r="117" spans="1:61" ht="15.75" customHeight="1" x14ac:dyDescent="0.25">
      <c r="A117" s="332"/>
      <c r="B117" s="332"/>
      <c r="C117" s="332"/>
      <c r="D117" s="332"/>
      <c r="E117" s="332"/>
      <c r="F117" s="332"/>
      <c r="G117" s="332"/>
      <c r="H117" s="332"/>
      <c r="I117" s="332"/>
      <c r="J117" s="332"/>
      <c r="K117" s="332"/>
      <c r="L117" s="332"/>
      <c r="M117" s="332"/>
      <c r="N117" s="332"/>
      <c r="O117" s="332"/>
      <c r="P117" s="332"/>
      <c r="Q117" s="332"/>
      <c r="R117" s="332"/>
      <c r="S117" s="332"/>
      <c r="T117" s="332"/>
      <c r="U117" s="332"/>
      <c r="V117" s="332"/>
      <c r="W117" s="332"/>
      <c r="X117" s="332"/>
      <c r="Y117" s="332"/>
      <c r="Z117" s="332"/>
      <c r="AA117" s="332"/>
      <c r="AB117" s="332"/>
      <c r="AC117" s="332"/>
      <c r="AD117" s="332"/>
      <c r="AE117" s="332"/>
      <c r="AF117" s="332"/>
      <c r="AG117" s="332"/>
      <c r="AH117" s="332"/>
      <c r="AI117" s="332"/>
      <c r="AJ117" s="332"/>
      <c r="AK117" s="332"/>
      <c r="AL117" s="332"/>
      <c r="AM117" s="332"/>
      <c r="AN117" s="332"/>
      <c r="AO117" s="332"/>
      <c r="AP117" s="332"/>
      <c r="AQ117" s="332"/>
      <c r="AR117" s="332"/>
      <c r="AS117" s="332"/>
      <c r="AT117" s="332"/>
      <c r="AU117" s="332"/>
      <c r="AV117" s="332"/>
      <c r="AW117" s="332"/>
      <c r="AX117" s="332"/>
      <c r="AY117" s="332"/>
      <c r="AZ117" s="332"/>
      <c r="BA117" s="332"/>
      <c r="BB117" s="332"/>
      <c r="BC117" s="332"/>
      <c r="BD117" s="332"/>
      <c r="BE117" s="332"/>
      <c r="BF117" s="332"/>
      <c r="BG117" s="332"/>
      <c r="BH117" s="332"/>
      <c r="BI117" s="332"/>
    </row>
    <row r="118" spans="1:61" ht="15.75" customHeight="1" x14ac:dyDescent="0.25">
      <c r="A118" s="332"/>
      <c r="B118" s="332"/>
      <c r="C118" s="332"/>
      <c r="D118" s="332"/>
      <c r="E118" s="332"/>
      <c r="F118" s="332"/>
      <c r="G118" s="332"/>
      <c r="H118" s="332"/>
      <c r="I118" s="332"/>
      <c r="J118" s="332"/>
      <c r="K118" s="332"/>
      <c r="L118" s="332"/>
      <c r="M118" s="332"/>
      <c r="N118" s="332"/>
      <c r="O118" s="332"/>
      <c r="P118" s="332"/>
      <c r="Q118" s="332"/>
      <c r="R118" s="332"/>
      <c r="S118" s="332"/>
      <c r="T118" s="332"/>
      <c r="U118" s="332"/>
      <c r="V118" s="332"/>
      <c r="W118" s="332"/>
      <c r="X118" s="332"/>
      <c r="Y118" s="332"/>
      <c r="Z118" s="332"/>
      <c r="AA118" s="332"/>
      <c r="AB118" s="332"/>
      <c r="AC118" s="332"/>
      <c r="AD118" s="332"/>
      <c r="AE118" s="332"/>
      <c r="AF118" s="332"/>
      <c r="AG118" s="332"/>
      <c r="AH118" s="332"/>
      <c r="AI118" s="332"/>
      <c r="AJ118" s="332"/>
      <c r="AK118" s="332"/>
      <c r="AL118" s="332"/>
      <c r="AM118" s="332"/>
      <c r="AN118" s="332"/>
      <c r="AO118" s="332"/>
      <c r="AP118" s="332"/>
      <c r="AQ118" s="332"/>
      <c r="AR118" s="332"/>
      <c r="AS118" s="332"/>
      <c r="AT118" s="332"/>
      <c r="AU118" s="332"/>
      <c r="AV118" s="332"/>
      <c r="AW118" s="332"/>
      <c r="AX118" s="332"/>
      <c r="AY118" s="332"/>
      <c r="AZ118" s="332"/>
      <c r="BA118" s="332"/>
      <c r="BB118" s="332"/>
      <c r="BC118" s="332"/>
      <c r="BD118" s="332"/>
      <c r="BE118" s="332"/>
      <c r="BF118" s="332"/>
      <c r="BG118" s="332"/>
      <c r="BH118" s="332"/>
      <c r="BI118" s="332"/>
    </row>
    <row r="119" spans="1:61" ht="15.75" customHeight="1" x14ac:dyDescent="0.25">
      <c r="A119" s="332"/>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2"/>
      <c r="AD119" s="332"/>
      <c r="AE119" s="332"/>
      <c r="AF119" s="332"/>
      <c r="AG119" s="332"/>
      <c r="AH119" s="332"/>
      <c r="AI119" s="332"/>
      <c r="AJ119" s="332"/>
      <c r="AK119" s="332"/>
      <c r="AL119" s="332"/>
      <c r="AM119" s="332"/>
      <c r="AN119" s="332"/>
      <c r="AO119" s="332"/>
      <c r="AP119" s="332"/>
      <c r="AQ119" s="332"/>
      <c r="AR119" s="332"/>
      <c r="AS119" s="332"/>
      <c r="AT119" s="332"/>
      <c r="AU119" s="332"/>
      <c r="AV119" s="332"/>
      <c r="AW119" s="332"/>
      <c r="AX119" s="332"/>
      <c r="AY119" s="332"/>
      <c r="AZ119" s="332"/>
      <c r="BA119" s="332"/>
      <c r="BB119" s="332"/>
      <c r="BC119" s="332"/>
      <c r="BD119" s="332"/>
      <c r="BE119" s="332"/>
      <c r="BF119" s="332"/>
      <c r="BG119" s="332"/>
      <c r="BH119" s="332"/>
      <c r="BI119" s="332"/>
    </row>
    <row r="120" spans="1:61" ht="15.75" customHeight="1" x14ac:dyDescent="0.25">
      <c r="A120" s="332"/>
      <c r="B120" s="332"/>
      <c r="C120" s="332"/>
      <c r="D120" s="332"/>
      <c r="E120" s="332"/>
      <c r="F120" s="332"/>
      <c r="G120" s="332"/>
      <c r="H120" s="332"/>
      <c r="I120" s="332"/>
      <c r="J120" s="332"/>
      <c r="K120" s="332"/>
      <c r="L120" s="332"/>
      <c r="M120" s="332"/>
      <c r="N120" s="332"/>
      <c r="O120" s="332"/>
      <c r="P120" s="332"/>
      <c r="Q120" s="332"/>
      <c r="R120" s="332"/>
      <c r="S120" s="332"/>
      <c r="T120" s="332"/>
      <c r="U120" s="332"/>
      <c r="V120" s="332"/>
      <c r="W120" s="332"/>
      <c r="X120" s="332"/>
      <c r="Y120" s="332"/>
      <c r="Z120" s="332"/>
      <c r="AA120" s="332"/>
      <c r="AB120" s="332"/>
      <c r="AC120" s="332"/>
      <c r="AD120" s="332"/>
      <c r="AE120" s="332"/>
      <c r="AF120" s="332"/>
      <c r="AG120" s="332"/>
      <c r="AH120" s="332"/>
      <c r="AI120" s="332"/>
      <c r="AJ120" s="332"/>
      <c r="AK120" s="332"/>
      <c r="AL120" s="332"/>
      <c r="AM120" s="332"/>
      <c r="AN120" s="332"/>
      <c r="AO120" s="332"/>
      <c r="AP120" s="332"/>
      <c r="AQ120" s="332"/>
      <c r="AR120" s="332"/>
      <c r="AS120" s="332"/>
      <c r="AT120" s="332"/>
      <c r="AU120" s="332"/>
      <c r="AV120" s="332"/>
      <c r="AW120" s="332"/>
      <c r="AX120" s="332"/>
      <c r="AY120" s="332"/>
      <c r="AZ120" s="332"/>
      <c r="BA120" s="332"/>
      <c r="BB120" s="332"/>
      <c r="BC120" s="332"/>
      <c r="BD120" s="332"/>
      <c r="BE120" s="332"/>
      <c r="BF120" s="332"/>
      <c r="BG120" s="332"/>
      <c r="BH120" s="332"/>
      <c r="BI120" s="332"/>
    </row>
    <row r="121" spans="1:61" ht="15.75" customHeight="1" x14ac:dyDescent="0.25">
      <c r="A121" s="332"/>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332"/>
      <c r="AF121" s="332"/>
      <c r="AG121" s="332"/>
      <c r="AH121" s="332"/>
      <c r="AI121" s="332"/>
      <c r="AJ121" s="332"/>
      <c r="AK121" s="332"/>
      <c r="AL121" s="332"/>
      <c r="AM121" s="332"/>
      <c r="AN121" s="332"/>
      <c r="AO121" s="332"/>
      <c r="AP121" s="332"/>
      <c r="AQ121" s="332"/>
      <c r="AR121" s="332"/>
      <c r="AS121" s="332"/>
      <c r="AT121" s="332"/>
      <c r="AU121" s="332"/>
      <c r="AV121" s="332"/>
      <c r="AW121" s="332"/>
      <c r="AX121" s="332"/>
      <c r="AY121" s="332"/>
      <c r="AZ121" s="332"/>
      <c r="BA121" s="332"/>
      <c r="BB121" s="332"/>
      <c r="BC121" s="332"/>
      <c r="BD121" s="332"/>
      <c r="BE121" s="332"/>
      <c r="BF121" s="332"/>
      <c r="BG121" s="332"/>
      <c r="BH121" s="332"/>
      <c r="BI121" s="332"/>
    </row>
    <row r="122" spans="1:61" ht="15.75" customHeight="1" x14ac:dyDescent="0.25">
      <c r="B122" s="332"/>
      <c r="C122" s="332"/>
      <c r="D122" s="332"/>
      <c r="E122" s="332"/>
      <c r="F122" s="332"/>
      <c r="G122" s="332"/>
      <c r="H122" s="332"/>
      <c r="I122" s="332"/>
      <c r="J122" s="332"/>
      <c r="K122" s="332"/>
      <c r="L122" s="332"/>
      <c r="M122" s="332"/>
      <c r="N122" s="332"/>
      <c r="O122" s="332"/>
      <c r="P122" s="332"/>
      <c r="Q122" s="332"/>
      <c r="R122" s="332"/>
      <c r="S122" s="332"/>
      <c r="T122" s="332"/>
      <c r="U122" s="332"/>
      <c r="V122" s="332"/>
      <c r="W122" s="332"/>
      <c r="X122" s="332"/>
      <c r="Y122" s="332"/>
      <c r="Z122" s="332"/>
      <c r="AA122" s="332"/>
      <c r="AB122" s="332"/>
      <c r="AC122" s="332"/>
      <c r="AD122" s="332"/>
      <c r="AE122" s="332"/>
      <c r="AF122" s="332"/>
      <c r="AG122" s="332"/>
      <c r="AH122" s="332"/>
      <c r="AI122" s="332"/>
      <c r="AJ122" s="332"/>
      <c r="AK122" s="332"/>
      <c r="AL122" s="332"/>
      <c r="AM122" s="332"/>
      <c r="AN122" s="332"/>
      <c r="AO122" s="332"/>
      <c r="AP122" s="332"/>
      <c r="AQ122" s="332"/>
      <c r="AR122" s="332"/>
      <c r="AS122" s="332"/>
      <c r="AT122" s="332"/>
      <c r="AU122" s="332"/>
      <c r="AV122" s="332"/>
      <c r="AW122" s="332"/>
      <c r="AX122" s="332"/>
      <c r="AY122" s="332"/>
      <c r="AZ122" s="332"/>
      <c r="BA122" s="332"/>
      <c r="BB122" s="332"/>
      <c r="BC122" s="332"/>
      <c r="BD122" s="332"/>
      <c r="BE122" s="332"/>
      <c r="BF122" s="332"/>
      <c r="BG122" s="332"/>
      <c r="BH122" s="332"/>
      <c r="BI122" s="332"/>
    </row>
    <row r="123" spans="1:61" ht="15.75" customHeight="1" x14ac:dyDescent="0.25">
      <c r="B123" s="332"/>
      <c r="C123" s="332"/>
      <c r="D123" s="332"/>
      <c r="E123" s="332"/>
      <c r="F123" s="332"/>
      <c r="G123" s="332"/>
      <c r="H123" s="332"/>
      <c r="I123" s="332"/>
      <c r="J123" s="332"/>
      <c r="K123" s="332"/>
      <c r="L123" s="332"/>
      <c r="M123" s="332"/>
      <c r="N123" s="332"/>
      <c r="O123" s="332"/>
      <c r="P123" s="332"/>
      <c r="Q123" s="332"/>
      <c r="R123" s="332"/>
      <c r="S123" s="332"/>
      <c r="T123" s="332"/>
      <c r="U123" s="332"/>
      <c r="V123" s="332"/>
      <c r="W123" s="332"/>
      <c r="X123" s="332"/>
      <c r="Y123" s="332"/>
      <c r="Z123" s="332"/>
      <c r="AA123" s="332"/>
      <c r="AB123" s="332"/>
      <c r="AC123" s="332"/>
      <c r="AD123" s="332"/>
      <c r="AE123" s="332"/>
      <c r="AF123" s="332"/>
      <c r="AG123" s="332"/>
      <c r="AH123" s="332"/>
      <c r="AI123" s="332"/>
      <c r="AJ123" s="332"/>
      <c r="AK123" s="332"/>
      <c r="AL123" s="332"/>
      <c r="AM123" s="332"/>
      <c r="AN123" s="332"/>
      <c r="AO123" s="332"/>
      <c r="AP123" s="332"/>
      <c r="AQ123" s="332"/>
      <c r="AR123" s="332"/>
      <c r="AS123" s="332"/>
      <c r="AT123" s="332"/>
      <c r="AU123" s="332"/>
      <c r="AV123" s="332"/>
      <c r="AW123" s="332"/>
      <c r="AX123" s="332"/>
      <c r="AY123" s="332"/>
      <c r="AZ123" s="332"/>
      <c r="BA123" s="332"/>
      <c r="BB123" s="332"/>
      <c r="BC123" s="332"/>
      <c r="BD123" s="332"/>
      <c r="BE123" s="332"/>
      <c r="BF123" s="332"/>
      <c r="BG123" s="332"/>
      <c r="BH123" s="332"/>
      <c r="BI123" s="332"/>
    </row>
    <row r="124" spans="1:61" ht="15.75" customHeight="1" x14ac:dyDescent="0.25">
      <c r="B124" s="332"/>
      <c r="C124" s="332"/>
      <c r="D124" s="332"/>
      <c r="E124" s="332"/>
      <c r="F124" s="332"/>
      <c r="G124" s="332"/>
      <c r="H124" s="332"/>
      <c r="I124" s="332"/>
      <c r="J124" s="332"/>
      <c r="K124" s="332"/>
      <c r="L124" s="332"/>
      <c r="M124" s="332"/>
      <c r="N124" s="332"/>
      <c r="O124" s="332"/>
      <c r="P124" s="332"/>
      <c r="Q124" s="332"/>
      <c r="R124" s="332"/>
      <c r="S124" s="332"/>
      <c r="T124" s="332"/>
      <c r="U124" s="332"/>
      <c r="V124" s="332"/>
      <c r="W124" s="332"/>
      <c r="X124" s="332"/>
      <c r="Y124" s="332"/>
      <c r="Z124" s="332"/>
      <c r="AA124" s="332"/>
      <c r="AB124" s="332"/>
      <c r="AC124" s="332"/>
      <c r="AD124" s="332"/>
      <c r="AE124" s="332"/>
      <c r="AF124" s="332"/>
      <c r="AG124" s="332"/>
      <c r="AH124" s="332"/>
      <c r="AI124" s="332"/>
      <c r="AJ124" s="332"/>
      <c r="AK124" s="332"/>
      <c r="AL124" s="332"/>
      <c r="AM124" s="332"/>
      <c r="AN124" s="332"/>
      <c r="AO124" s="332"/>
      <c r="AP124" s="332"/>
      <c r="AQ124" s="332"/>
      <c r="AR124" s="332"/>
      <c r="AS124" s="332"/>
      <c r="AT124" s="332"/>
      <c r="AU124" s="332"/>
      <c r="AV124" s="332"/>
      <c r="AW124" s="332"/>
      <c r="AX124" s="332"/>
      <c r="AY124" s="332"/>
      <c r="AZ124" s="332"/>
      <c r="BA124" s="332"/>
      <c r="BB124" s="332"/>
      <c r="BC124" s="332"/>
      <c r="BD124" s="332"/>
      <c r="BE124" s="332"/>
      <c r="BF124" s="332"/>
      <c r="BG124" s="332"/>
      <c r="BH124" s="332"/>
      <c r="BI124" s="332"/>
    </row>
    <row r="125" spans="1:61" ht="15.75" customHeight="1" x14ac:dyDescent="0.25">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332"/>
      <c r="AB125" s="332"/>
      <c r="AC125" s="332"/>
      <c r="AD125" s="332"/>
      <c r="AE125" s="332"/>
      <c r="AF125" s="332"/>
      <c r="AG125" s="332"/>
      <c r="AH125" s="332"/>
      <c r="AI125" s="332"/>
      <c r="AJ125" s="332"/>
      <c r="AK125" s="332"/>
      <c r="AL125" s="332"/>
      <c r="AM125" s="332"/>
      <c r="AN125" s="332"/>
      <c r="AO125" s="332"/>
      <c r="AP125" s="332"/>
      <c r="AQ125" s="332"/>
      <c r="AR125" s="332"/>
      <c r="AS125" s="332"/>
      <c r="AT125" s="332"/>
      <c r="AU125" s="332"/>
      <c r="AV125" s="332"/>
      <c r="AW125" s="332"/>
      <c r="AX125" s="332"/>
      <c r="AY125" s="332"/>
      <c r="AZ125" s="332"/>
      <c r="BA125" s="332"/>
      <c r="BB125" s="332"/>
      <c r="BC125" s="332"/>
      <c r="BD125" s="332"/>
      <c r="BE125" s="332"/>
      <c r="BF125" s="332"/>
      <c r="BG125" s="332"/>
      <c r="BH125" s="332"/>
      <c r="BI125" s="332"/>
    </row>
    <row r="126" spans="1:61" ht="15.75" customHeight="1" x14ac:dyDescent="0.25">
      <c r="B126" s="332"/>
      <c r="C126" s="332"/>
      <c r="D126" s="332"/>
      <c r="E126" s="332"/>
      <c r="F126" s="332"/>
      <c r="G126" s="332"/>
      <c r="H126" s="332"/>
      <c r="I126" s="332"/>
      <c r="J126" s="332"/>
      <c r="K126" s="332"/>
      <c r="L126" s="332"/>
      <c r="M126" s="332"/>
      <c r="N126" s="332"/>
      <c r="O126" s="332"/>
      <c r="P126" s="332"/>
      <c r="Q126" s="332"/>
      <c r="R126" s="332"/>
      <c r="S126" s="332"/>
      <c r="T126" s="332"/>
      <c r="U126" s="332"/>
      <c r="V126" s="332"/>
      <c r="W126" s="332"/>
      <c r="X126" s="332"/>
      <c r="Y126" s="332"/>
      <c r="Z126" s="332"/>
      <c r="AA126" s="332"/>
      <c r="AB126" s="332"/>
      <c r="AC126" s="332"/>
      <c r="AD126" s="332"/>
      <c r="AE126" s="332"/>
      <c r="AF126" s="332"/>
      <c r="AG126" s="332"/>
      <c r="AH126" s="332"/>
      <c r="AI126" s="332"/>
      <c r="AJ126" s="332"/>
      <c r="AK126" s="332"/>
      <c r="AL126" s="332"/>
      <c r="AM126" s="332"/>
      <c r="AN126" s="332"/>
      <c r="AO126" s="332"/>
      <c r="AP126" s="332"/>
      <c r="AQ126" s="332"/>
      <c r="AR126" s="332"/>
      <c r="AS126" s="332"/>
      <c r="AT126" s="332"/>
      <c r="AU126" s="332"/>
      <c r="AV126" s="332"/>
      <c r="AW126" s="332"/>
      <c r="AX126" s="332"/>
      <c r="AY126" s="332"/>
      <c r="AZ126" s="332"/>
      <c r="BA126" s="332"/>
      <c r="BB126" s="332"/>
      <c r="BC126" s="332"/>
      <c r="BD126" s="332"/>
      <c r="BE126" s="332"/>
      <c r="BF126" s="332"/>
      <c r="BG126" s="332"/>
      <c r="BH126" s="332"/>
      <c r="BI126" s="332"/>
    </row>
    <row r="127" spans="1:61" ht="15.75" customHeight="1" x14ac:dyDescent="0.25">
      <c r="B127" s="332"/>
      <c r="C127" s="332"/>
      <c r="D127" s="332"/>
      <c r="E127" s="332"/>
      <c r="F127" s="332"/>
      <c r="G127" s="332"/>
      <c r="H127" s="332"/>
      <c r="I127" s="332"/>
      <c r="J127" s="332"/>
      <c r="K127" s="332"/>
      <c r="L127" s="332"/>
      <c r="M127" s="332"/>
      <c r="N127" s="332"/>
      <c r="O127" s="332"/>
      <c r="P127" s="332"/>
      <c r="Q127" s="332"/>
      <c r="R127" s="332"/>
      <c r="S127" s="332"/>
      <c r="T127" s="332"/>
      <c r="U127" s="332"/>
      <c r="V127" s="332"/>
      <c r="W127" s="332"/>
      <c r="X127" s="332"/>
      <c r="Y127" s="332"/>
      <c r="Z127" s="332"/>
      <c r="AA127" s="332"/>
      <c r="AB127" s="332"/>
      <c r="AC127" s="332"/>
      <c r="AD127" s="332"/>
      <c r="AE127" s="332"/>
      <c r="AF127" s="332"/>
      <c r="AG127" s="332"/>
      <c r="AH127" s="332"/>
      <c r="AI127" s="332"/>
      <c r="AJ127" s="332"/>
      <c r="AK127" s="332"/>
      <c r="AL127" s="332"/>
      <c r="AM127" s="332"/>
      <c r="AN127" s="332"/>
      <c r="AO127" s="332"/>
      <c r="AP127" s="332"/>
      <c r="AQ127" s="332"/>
      <c r="AR127" s="332"/>
      <c r="AS127" s="332"/>
      <c r="AT127" s="332"/>
      <c r="AU127" s="332"/>
      <c r="AV127" s="332"/>
      <c r="AW127" s="332"/>
      <c r="AX127" s="332"/>
      <c r="AY127" s="332"/>
      <c r="AZ127" s="332"/>
      <c r="BA127" s="332"/>
      <c r="BB127" s="332"/>
      <c r="BC127" s="332"/>
      <c r="BD127" s="332"/>
      <c r="BE127" s="332"/>
      <c r="BF127" s="332"/>
      <c r="BG127" s="332"/>
      <c r="BH127" s="332"/>
      <c r="BI127" s="332"/>
    </row>
    <row r="128" spans="1:61" ht="15.75" customHeight="1" x14ac:dyDescent="0.25">
      <c r="B128" s="332"/>
      <c r="C128" s="332"/>
      <c r="D128" s="332"/>
      <c r="E128" s="332"/>
      <c r="F128" s="332"/>
      <c r="G128" s="332"/>
      <c r="H128" s="332"/>
      <c r="I128" s="332"/>
      <c r="J128" s="332"/>
      <c r="K128" s="332"/>
      <c r="L128" s="332"/>
      <c r="M128" s="332"/>
      <c r="N128" s="332"/>
      <c r="O128" s="332"/>
      <c r="P128" s="332"/>
      <c r="Q128" s="332"/>
      <c r="R128" s="332"/>
      <c r="S128" s="332"/>
      <c r="T128" s="332"/>
      <c r="U128" s="332"/>
      <c r="V128" s="332"/>
      <c r="W128" s="332"/>
      <c r="X128" s="332"/>
      <c r="Y128" s="332"/>
      <c r="Z128" s="332"/>
      <c r="AA128" s="332"/>
      <c r="AB128" s="332"/>
      <c r="AC128" s="332"/>
      <c r="AD128" s="332"/>
      <c r="AE128" s="332"/>
      <c r="AF128" s="332"/>
      <c r="AG128" s="332"/>
      <c r="AH128" s="332"/>
      <c r="AI128" s="332"/>
      <c r="AJ128" s="332"/>
      <c r="AK128" s="332"/>
      <c r="AL128" s="332"/>
      <c r="AM128" s="332"/>
      <c r="AN128" s="332"/>
      <c r="AO128" s="332"/>
      <c r="AP128" s="332"/>
      <c r="AQ128" s="332"/>
      <c r="AR128" s="332"/>
      <c r="AS128" s="332"/>
      <c r="AT128" s="332"/>
      <c r="AU128" s="332"/>
      <c r="AV128" s="332"/>
      <c r="AW128" s="332"/>
      <c r="AX128" s="332"/>
      <c r="AY128" s="332"/>
      <c r="AZ128" s="332"/>
      <c r="BA128" s="332"/>
      <c r="BB128" s="332"/>
      <c r="BC128" s="332"/>
      <c r="BD128" s="332"/>
      <c r="BE128" s="332"/>
      <c r="BF128" s="332"/>
      <c r="BG128" s="332"/>
      <c r="BH128" s="332"/>
      <c r="BI128" s="332"/>
    </row>
    <row r="129" spans="2:61" ht="15.75" customHeight="1" x14ac:dyDescent="0.25">
      <c r="B129" s="332"/>
      <c r="C129" s="332"/>
      <c r="D129" s="332"/>
      <c r="E129" s="332"/>
      <c r="F129" s="332"/>
      <c r="G129" s="332"/>
      <c r="H129" s="332"/>
      <c r="I129" s="332"/>
      <c r="J129" s="332"/>
      <c r="K129" s="332"/>
      <c r="L129" s="332"/>
      <c r="M129" s="332"/>
      <c r="N129" s="332"/>
      <c r="O129" s="332"/>
      <c r="P129" s="332"/>
      <c r="Q129" s="332"/>
      <c r="R129" s="332"/>
      <c r="S129" s="332"/>
      <c r="T129" s="332"/>
      <c r="U129" s="332"/>
      <c r="V129" s="332"/>
      <c r="W129" s="332"/>
      <c r="X129" s="332"/>
      <c r="Y129" s="332"/>
      <c r="Z129" s="332"/>
      <c r="AA129" s="332"/>
      <c r="AB129" s="332"/>
      <c r="AC129" s="332"/>
      <c r="AD129" s="332"/>
      <c r="AE129" s="332"/>
      <c r="AF129" s="332"/>
      <c r="AG129" s="332"/>
      <c r="AH129" s="332"/>
      <c r="AI129" s="332"/>
      <c r="AJ129" s="332"/>
      <c r="AK129" s="332"/>
      <c r="AL129" s="332"/>
      <c r="AM129" s="332"/>
      <c r="AN129" s="332"/>
      <c r="AO129" s="332"/>
      <c r="AP129" s="332"/>
      <c r="AQ129" s="332"/>
      <c r="AR129" s="332"/>
      <c r="AS129" s="332"/>
      <c r="AT129" s="332"/>
      <c r="AU129" s="332"/>
      <c r="AV129" s="332"/>
      <c r="AW129" s="332"/>
      <c r="AX129" s="332"/>
      <c r="AY129" s="332"/>
      <c r="AZ129" s="332"/>
      <c r="BA129" s="332"/>
      <c r="BB129" s="332"/>
      <c r="BC129" s="332"/>
      <c r="BD129" s="332"/>
      <c r="BE129" s="332"/>
      <c r="BF129" s="332"/>
      <c r="BG129" s="332"/>
      <c r="BH129" s="332"/>
      <c r="BI129" s="332"/>
    </row>
    <row r="130" spans="2:61" ht="15.75" customHeight="1" x14ac:dyDescent="0.25">
      <c r="B130" s="332"/>
      <c r="C130" s="332"/>
      <c r="D130" s="332"/>
      <c r="E130" s="332"/>
      <c r="F130" s="332"/>
      <c r="G130" s="332"/>
      <c r="H130" s="332"/>
      <c r="I130" s="332"/>
      <c r="J130" s="332"/>
      <c r="K130" s="332"/>
      <c r="L130" s="332"/>
      <c r="M130" s="332"/>
      <c r="N130" s="332"/>
      <c r="O130" s="332"/>
      <c r="P130" s="332"/>
      <c r="Q130" s="332"/>
      <c r="R130" s="332"/>
      <c r="S130" s="332"/>
      <c r="T130" s="332"/>
      <c r="U130" s="332"/>
      <c r="V130" s="332"/>
      <c r="W130" s="332"/>
      <c r="X130" s="332"/>
      <c r="Y130" s="332"/>
      <c r="Z130" s="332"/>
      <c r="AA130" s="332"/>
      <c r="AB130" s="332"/>
      <c r="AC130" s="332"/>
      <c r="AD130" s="332"/>
      <c r="AE130" s="332"/>
      <c r="AF130" s="332"/>
      <c r="AG130" s="332"/>
      <c r="AH130" s="332"/>
      <c r="AI130" s="332"/>
      <c r="AJ130" s="332"/>
      <c r="AK130" s="332"/>
      <c r="AL130" s="332"/>
      <c r="AM130" s="332"/>
      <c r="AN130" s="332"/>
      <c r="AO130" s="332"/>
      <c r="AP130" s="332"/>
      <c r="AQ130" s="332"/>
      <c r="AR130" s="332"/>
      <c r="AS130" s="332"/>
      <c r="AT130" s="332"/>
      <c r="AU130" s="332"/>
      <c r="AV130" s="332"/>
      <c r="AW130" s="332"/>
      <c r="AX130" s="332"/>
      <c r="AY130" s="332"/>
      <c r="AZ130" s="332"/>
      <c r="BA130" s="332"/>
      <c r="BB130" s="332"/>
      <c r="BC130" s="332"/>
      <c r="BD130" s="332"/>
      <c r="BE130" s="332"/>
      <c r="BF130" s="332"/>
      <c r="BG130" s="332"/>
      <c r="BH130" s="332"/>
      <c r="BI130" s="332"/>
    </row>
    <row r="131" spans="2:61" ht="15.75" customHeight="1" x14ac:dyDescent="0.25">
      <c r="B131" s="332"/>
      <c r="C131" s="332"/>
      <c r="D131" s="332"/>
      <c r="E131" s="332"/>
      <c r="F131" s="332"/>
      <c r="G131" s="332"/>
      <c r="H131" s="332"/>
      <c r="I131" s="332"/>
      <c r="J131" s="332"/>
      <c r="K131" s="332"/>
      <c r="L131" s="332"/>
      <c r="M131" s="332"/>
      <c r="N131" s="332"/>
      <c r="O131" s="332"/>
      <c r="P131" s="332"/>
      <c r="Q131" s="332"/>
      <c r="R131" s="332"/>
      <c r="S131" s="332"/>
      <c r="T131" s="332"/>
      <c r="U131" s="332"/>
      <c r="V131" s="332"/>
      <c r="W131" s="332"/>
      <c r="X131" s="332"/>
      <c r="Y131" s="332"/>
      <c r="Z131" s="332"/>
      <c r="AA131" s="332"/>
      <c r="AB131" s="332"/>
      <c r="AC131" s="332"/>
      <c r="AD131" s="332"/>
      <c r="AE131" s="332"/>
      <c r="AF131" s="332"/>
      <c r="AG131" s="332"/>
      <c r="AH131" s="332"/>
      <c r="AI131" s="332"/>
      <c r="AJ131" s="332"/>
      <c r="AK131" s="332"/>
      <c r="AL131" s="332"/>
      <c r="AM131" s="332"/>
      <c r="AN131" s="332"/>
      <c r="AO131" s="332"/>
      <c r="AP131" s="332"/>
      <c r="AQ131" s="332"/>
      <c r="AR131" s="332"/>
      <c r="AS131" s="332"/>
      <c r="AT131" s="332"/>
      <c r="AU131" s="332"/>
      <c r="AV131" s="332"/>
      <c r="AW131" s="332"/>
      <c r="AX131" s="332"/>
      <c r="AY131" s="332"/>
      <c r="AZ131" s="332"/>
      <c r="BA131" s="332"/>
      <c r="BB131" s="332"/>
      <c r="BC131" s="332"/>
      <c r="BD131" s="332"/>
      <c r="BE131" s="332"/>
      <c r="BF131" s="332"/>
      <c r="BG131" s="332"/>
      <c r="BH131" s="332"/>
      <c r="BI131" s="332"/>
    </row>
    <row r="132" spans="2:61" ht="15.75" customHeight="1" x14ac:dyDescent="0.25">
      <c r="B132" s="332"/>
      <c r="C132" s="332"/>
      <c r="D132" s="332"/>
      <c r="E132" s="332"/>
      <c r="F132" s="332"/>
      <c r="G132" s="332"/>
      <c r="H132" s="332"/>
      <c r="I132" s="332"/>
      <c r="J132" s="332"/>
      <c r="K132" s="332"/>
      <c r="L132" s="332"/>
      <c r="M132" s="332"/>
      <c r="N132" s="332"/>
      <c r="O132" s="332"/>
      <c r="P132" s="332"/>
      <c r="Q132" s="332"/>
      <c r="R132" s="332"/>
      <c r="S132" s="332"/>
      <c r="T132" s="332"/>
      <c r="U132" s="332"/>
      <c r="V132" s="332"/>
      <c r="W132" s="332"/>
      <c r="X132" s="332"/>
      <c r="Y132" s="332"/>
      <c r="Z132" s="332"/>
      <c r="AA132" s="332"/>
      <c r="AB132" s="332"/>
      <c r="AC132" s="332"/>
      <c r="AD132" s="332"/>
      <c r="AE132" s="332"/>
      <c r="AF132" s="332"/>
      <c r="AG132" s="332"/>
      <c r="AH132" s="332"/>
      <c r="AI132" s="332"/>
      <c r="AJ132" s="332"/>
      <c r="AK132" s="332"/>
      <c r="AL132" s="332"/>
      <c r="AM132" s="332"/>
      <c r="AN132" s="332"/>
      <c r="AO132" s="332"/>
      <c r="AP132" s="332"/>
      <c r="AQ132" s="332"/>
      <c r="AR132" s="332"/>
      <c r="AS132" s="332"/>
      <c r="AT132" s="332"/>
      <c r="AU132" s="332"/>
      <c r="AV132" s="332"/>
      <c r="AW132" s="332"/>
      <c r="AX132" s="332"/>
      <c r="AY132" s="332"/>
      <c r="AZ132" s="332"/>
      <c r="BA132" s="332"/>
      <c r="BB132" s="332"/>
      <c r="BC132" s="332"/>
      <c r="BD132" s="332"/>
      <c r="BE132" s="332"/>
      <c r="BF132" s="332"/>
      <c r="BG132" s="332"/>
      <c r="BH132" s="332"/>
      <c r="BI132" s="332"/>
    </row>
    <row r="133" spans="2:61" ht="15.75" customHeight="1" x14ac:dyDescent="0.25">
      <c r="B133" s="332"/>
      <c r="C133" s="332"/>
      <c r="D133" s="332"/>
      <c r="E133" s="332"/>
      <c r="F133" s="332"/>
      <c r="G133" s="332"/>
      <c r="H133" s="332"/>
      <c r="I133" s="332"/>
      <c r="J133" s="332"/>
      <c r="K133" s="332"/>
      <c r="L133" s="332"/>
      <c r="M133" s="332"/>
      <c r="N133" s="332"/>
      <c r="O133" s="332"/>
      <c r="P133" s="332"/>
      <c r="Q133" s="332"/>
      <c r="R133" s="332"/>
      <c r="S133" s="332"/>
      <c r="T133" s="332"/>
      <c r="U133" s="332"/>
      <c r="V133" s="332"/>
      <c r="W133" s="332"/>
      <c r="X133" s="332"/>
      <c r="Y133" s="332"/>
      <c r="Z133" s="332"/>
      <c r="AA133" s="332"/>
      <c r="AB133" s="332"/>
      <c r="AC133" s="332"/>
      <c r="AD133" s="332"/>
      <c r="AE133" s="332"/>
      <c r="AF133" s="332"/>
      <c r="AG133" s="332"/>
      <c r="AH133" s="332"/>
      <c r="AI133" s="332"/>
      <c r="AJ133" s="332"/>
      <c r="AK133" s="332"/>
      <c r="AL133" s="332"/>
      <c r="AM133" s="332"/>
      <c r="AN133" s="332"/>
      <c r="AO133" s="332"/>
      <c r="AP133" s="332"/>
      <c r="AQ133" s="332"/>
      <c r="AR133" s="332"/>
      <c r="AS133" s="332"/>
      <c r="AT133" s="332"/>
      <c r="AU133" s="332"/>
      <c r="AV133" s="332"/>
      <c r="AW133" s="332"/>
      <c r="AX133" s="332"/>
      <c r="AY133" s="332"/>
      <c r="AZ133" s="332"/>
      <c r="BA133" s="332"/>
      <c r="BB133" s="332"/>
      <c r="BC133" s="332"/>
      <c r="BD133" s="332"/>
      <c r="BE133" s="332"/>
      <c r="BF133" s="332"/>
      <c r="BG133" s="332"/>
      <c r="BH133" s="332"/>
      <c r="BI133" s="332"/>
    </row>
    <row r="134" spans="2:61" ht="15.75" customHeight="1" x14ac:dyDescent="0.25">
      <c r="B134" s="332"/>
      <c r="C134" s="332"/>
      <c r="D134" s="332"/>
      <c r="E134" s="332"/>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2"/>
      <c r="AL134" s="332"/>
      <c r="AM134" s="332"/>
      <c r="AN134" s="332"/>
      <c r="AO134" s="332"/>
      <c r="AP134" s="332"/>
      <c r="AQ134" s="332"/>
      <c r="AR134" s="332"/>
      <c r="AS134" s="332"/>
      <c r="AT134" s="332"/>
      <c r="AU134" s="332"/>
      <c r="AV134" s="332"/>
      <c r="AW134" s="332"/>
      <c r="AX134" s="332"/>
      <c r="AY134" s="332"/>
      <c r="AZ134" s="332"/>
      <c r="BA134" s="332"/>
      <c r="BB134" s="332"/>
      <c r="BC134" s="332"/>
      <c r="BD134" s="332"/>
      <c r="BE134" s="332"/>
      <c r="BF134" s="332"/>
      <c r="BG134" s="332"/>
      <c r="BH134" s="332"/>
      <c r="BI134" s="332"/>
    </row>
    <row r="135" spans="2:61" ht="15.75" customHeight="1" x14ac:dyDescent="0.25">
      <c r="B135" s="332"/>
      <c r="C135" s="332"/>
      <c r="D135" s="332"/>
      <c r="E135" s="332"/>
      <c r="F135" s="332"/>
      <c r="G135" s="332"/>
      <c r="H135" s="332"/>
      <c r="I135" s="332"/>
      <c r="J135" s="332"/>
      <c r="K135" s="332"/>
      <c r="L135" s="332"/>
      <c r="M135" s="332"/>
      <c r="N135" s="332"/>
      <c r="O135" s="332"/>
      <c r="P135" s="332"/>
      <c r="Q135" s="332"/>
      <c r="R135" s="332"/>
      <c r="S135" s="332"/>
      <c r="T135" s="332"/>
      <c r="U135" s="332"/>
      <c r="V135" s="332"/>
      <c r="W135" s="332"/>
      <c r="X135" s="332"/>
      <c r="Y135" s="332"/>
      <c r="Z135" s="332"/>
      <c r="AA135" s="332"/>
      <c r="AB135" s="332"/>
      <c r="AC135" s="332"/>
      <c r="AD135" s="332"/>
      <c r="AE135" s="332"/>
      <c r="AF135" s="332"/>
      <c r="AG135" s="332"/>
      <c r="AH135" s="332"/>
      <c r="AI135" s="332"/>
      <c r="AJ135" s="332"/>
      <c r="AK135" s="332"/>
      <c r="AL135" s="332"/>
      <c r="AM135" s="332"/>
      <c r="AN135" s="332"/>
      <c r="AO135" s="332"/>
      <c r="AP135" s="332"/>
      <c r="AQ135" s="332"/>
      <c r="AR135" s="332"/>
      <c r="AS135" s="332"/>
      <c r="AT135" s="332"/>
      <c r="AU135" s="332"/>
      <c r="AV135" s="332"/>
      <c r="AW135" s="332"/>
      <c r="AX135" s="332"/>
      <c r="AY135" s="332"/>
      <c r="AZ135" s="332"/>
      <c r="BA135" s="332"/>
      <c r="BB135" s="332"/>
      <c r="BC135" s="332"/>
      <c r="BD135" s="332"/>
      <c r="BE135" s="332"/>
      <c r="BF135" s="332"/>
      <c r="BG135" s="332"/>
      <c r="BH135" s="332"/>
      <c r="BI135" s="332"/>
    </row>
    <row r="136" spans="2:61" ht="15.75" customHeight="1" x14ac:dyDescent="0.25">
      <c r="B136" s="332"/>
      <c r="C136" s="332"/>
      <c r="D136" s="332"/>
      <c r="E136" s="332"/>
      <c r="F136" s="332"/>
      <c r="G136" s="332"/>
      <c r="H136" s="332"/>
      <c r="I136" s="332"/>
      <c r="J136" s="332"/>
      <c r="K136" s="332"/>
      <c r="L136" s="332"/>
      <c r="M136" s="332"/>
      <c r="N136" s="332"/>
      <c r="O136" s="332"/>
      <c r="P136" s="332"/>
      <c r="Q136" s="332"/>
      <c r="R136" s="332"/>
      <c r="S136" s="332"/>
      <c r="T136" s="332"/>
      <c r="U136" s="332"/>
      <c r="V136" s="332"/>
      <c r="W136" s="332"/>
      <c r="X136" s="332"/>
      <c r="Y136" s="332"/>
      <c r="Z136" s="332"/>
      <c r="AA136" s="332"/>
      <c r="AB136" s="332"/>
      <c r="AC136" s="332"/>
      <c r="AD136" s="332"/>
      <c r="AE136" s="332"/>
      <c r="AF136" s="332"/>
      <c r="AG136" s="332"/>
      <c r="AH136" s="332"/>
      <c r="AI136" s="332"/>
      <c r="AJ136" s="332"/>
      <c r="AK136" s="332"/>
      <c r="AL136" s="332"/>
      <c r="AM136" s="332"/>
      <c r="AN136" s="332"/>
      <c r="AO136" s="332"/>
      <c r="AP136" s="332"/>
      <c r="AQ136" s="332"/>
      <c r="AR136" s="332"/>
      <c r="AS136" s="332"/>
      <c r="AT136" s="332"/>
      <c r="AU136" s="332"/>
      <c r="AV136" s="332"/>
      <c r="AW136" s="332"/>
      <c r="AX136" s="332"/>
      <c r="AY136" s="332"/>
      <c r="AZ136" s="332"/>
      <c r="BA136" s="332"/>
      <c r="BB136" s="332"/>
      <c r="BC136" s="332"/>
      <c r="BD136" s="332"/>
      <c r="BE136" s="332"/>
      <c r="BF136" s="332"/>
      <c r="BG136" s="332"/>
      <c r="BH136" s="332"/>
      <c r="BI136" s="332"/>
    </row>
    <row r="137" spans="2:61" ht="15.75" customHeight="1" x14ac:dyDescent="0.25">
      <c r="B137" s="332"/>
      <c r="C137" s="332"/>
      <c r="D137" s="332"/>
      <c r="E137" s="332"/>
      <c r="F137" s="332"/>
      <c r="G137" s="332"/>
      <c r="H137" s="332"/>
      <c r="I137" s="332"/>
    </row>
    <row r="138" spans="2:61" ht="15.75" customHeight="1" x14ac:dyDescent="0.25">
      <c r="B138" s="332"/>
      <c r="C138" s="332"/>
      <c r="D138" s="332"/>
      <c r="E138" s="332"/>
      <c r="F138" s="332"/>
      <c r="G138" s="332"/>
      <c r="H138" s="332"/>
      <c r="I138" s="332"/>
    </row>
    <row r="139" spans="2:61" ht="15.75" customHeight="1" x14ac:dyDescent="0.25">
      <c r="B139" s="332"/>
      <c r="C139" s="332"/>
      <c r="D139" s="332"/>
      <c r="E139" s="332"/>
      <c r="F139" s="332"/>
      <c r="G139" s="332"/>
      <c r="H139" s="332"/>
      <c r="I139" s="332"/>
    </row>
    <row r="140" spans="2:61" ht="15.75" customHeight="1" x14ac:dyDescent="0.25">
      <c r="B140" s="332"/>
      <c r="C140" s="332"/>
      <c r="D140" s="332"/>
      <c r="E140" s="332"/>
      <c r="F140" s="332"/>
      <c r="G140" s="332"/>
      <c r="H140" s="332"/>
      <c r="I140" s="332"/>
    </row>
    <row r="141" spans="2:61" ht="15.75" customHeight="1" x14ac:dyDescent="0.2"/>
    <row r="142" spans="2:61" ht="15.75" customHeight="1" x14ac:dyDescent="0.2"/>
    <row r="143" spans="2:61" ht="15.75" customHeight="1" x14ac:dyDescent="0.2"/>
    <row r="144" spans="2:61"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0866141732283472" right="0.70866141732283472" top="0.74803149606299213" bottom="0.74803149606299213" header="0" footer="0"/>
  <pageSetup scale="34" orientation="portrait" r:id="rId1"/>
  <headerFooter>
    <oddHeader>&amp;L&amp;G&amp;C&amp;"Verdana,Negrita"MATRIZ DE RIESGOS</oddHeader>
    <oddFooter>&amp;RCódigo:E-02-F-014
Versión: 5
Fecha: Ver Isolución</oddFooter>
  </headerFooter>
  <colBreaks count="1" manualBreakCount="1">
    <brk id="46" max="68"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D9C6B-F0D8-46D9-AB06-07EAFBBCAF81}">
  <sheetPr>
    <tabColor rgb="FF002060"/>
  </sheetPr>
  <dimension ref="A1:BI1000"/>
  <sheetViews>
    <sheetView view="pageBreakPreview" zoomScale="25" zoomScaleNormal="40" zoomScaleSheetLayoutView="25" workbookViewId="0">
      <selection activeCell="AU98" sqref="AU98"/>
    </sheetView>
  </sheetViews>
  <sheetFormatPr baseColWidth="10" defaultColWidth="12.625" defaultRowHeight="15" customHeight="1" x14ac:dyDescent="0.2"/>
  <cols>
    <col min="1" max="1" width="9.375" style="231" customWidth="1"/>
    <col min="2" max="18" width="5" style="231" customWidth="1"/>
    <col min="19" max="19" width="7.375" style="231" customWidth="1"/>
    <col min="20" max="23" width="5" style="231" customWidth="1"/>
    <col min="24" max="24" width="7.5" style="231" customWidth="1"/>
    <col min="25" max="26" width="5" style="231" customWidth="1"/>
    <col min="27" max="27" width="9.375" style="231" customWidth="1"/>
    <col min="28" max="28" width="5" style="231" customWidth="1"/>
    <col min="29" max="29" width="6.5" style="231" customWidth="1"/>
    <col min="30" max="33" width="5" style="231" customWidth="1"/>
    <col min="34" max="34" width="7.5" style="231" customWidth="1"/>
    <col min="35" max="39" width="5" style="231" customWidth="1"/>
    <col min="40" max="40" width="9.375" style="231" customWidth="1"/>
    <col min="41" max="46" width="5" style="231" customWidth="1"/>
    <col min="47" max="61" width="9.375" style="231" customWidth="1"/>
    <col min="62" max="16384" width="12.625" style="231"/>
  </cols>
  <sheetData>
    <row r="1" spans="1:61" x14ac:dyDescent="0.25">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c r="AE1" s="334"/>
      <c r="AF1" s="334"/>
      <c r="AG1" s="334"/>
      <c r="AH1" s="334"/>
      <c r="AI1" s="334"/>
      <c r="AJ1" s="334"/>
      <c r="AK1" s="334"/>
      <c r="AL1" s="334"/>
      <c r="AM1" s="334"/>
      <c r="AN1" s="334"/>
      <c r="AO1" s="334"/>
      <c r="AP1" s="334"/>
      <c r="AQ1" s="334"/>
      <c r="AR1" s="334"/>
      <c r="AS1" s="334"/>
      <c r="AT1" s="334"/>
      <c r="AU1" s="334"/>
      <c r="AV1" s="334"/>
      <c r="AW1" s="334"/>
      <c r="AX1" s="334"/>
      <c r="AY1" s="334"/>
      <c r="AZ1" s="334"/>
      <c r="BA1" s="334"/>
      <c r="BB1" s="334"/>
      <c r="BC1" s="334"/>
      <c r="BD1" s="334"/>
      <c r="BE1" s="334"/>
      <c r="BF1" s="334"/>
      <c r="BG1" s="334"/>
      <c r="BH1" s="334"/>
      <c r="BI1" s="334"/>
    </row>
    <row r="2" spans="1:61" ht="18" customHeight="1" x14ac:dyDescent="0.25">
      <c r="A2" s="334"/>
      <c r="B2" s="747" t="s">
        <v>17</v>
      </c>
      <c r="C2" s="742"/>
      <c r="D2" s="742"/>
      <c r="E2" s="742"/>
      <c r="F2" s="742"/>
      <c r="G2" s="742"/>
      <c r="H2" s="742"/>
      <c r="I2" s="742"/>
      <c r="J2" s="748" t="s">
        <v>1</v>
      </c>
      <c r="K2" s="749"/>
      <c r="L2" s="749"/>
      <c r="M2" s="749"/>
      <c r="N2" s="749"/>
      <c r="O2" s="749"/>
      <c r="P2" s="749"/>
      <c r="Q2" s="749"/>
      <c r="R2" s="749"/>
      <c r="S2" s="749"/>
      <c r="T2" s="749"/>
      <c r="U2" s="749"/>
      <c r="V2" s="749"/>
      <c r="W2" s="749"/>
      <c r="X2" s="749"/>
      <c r="Y2" s="749"/>
      <c r="Z2" s="749"/>
      <c r="AA2" s="749"/>
      <c r="AB2" s="749"/>
      <c r="AC2" s="749"/>
      <c r="AD2" s="749"/>
      <c r="AE2" s="749"/>
      <c r="AF2" s="749"/>
      <c r="AG2" s="749"/>
      <c r="AH2" s="749"/>
      <c r="AI2" s="749"/>
      <c r="AJ2" s="749"/>
      <c r="AK2" s="749"/>
      <c r="AL2" s="749"/>
      <c r="AM2" s="749"/>
      <c r="AN2" s="334"/>
      <c r="AO2" s="334"/>
      <c r="AP2" s="334"/>
      <c r="AQ2" s="334"/>
      <c r="AR2" s="334"/>
      <c r="AS2" s="334"/>
      <c r="AT2" s="334"/>
      <c r="AU2" s="334"/>
      <c r="AV2" s="334"/>
      <c r="AW2" s="334"/>
      <c r="AX2" s="334"/>
      <c r="AY2" s="334"/>
      <c r="AZ2" s="334"/>
      <c r="BA2" s="334"/>
      <c r="BB2" s="334"/>
      <c r="BC2" s="334"/>
      <c r="BD2" s="334"/>
      <c r="BE2" s="334"/>
      <c r="BF2" s="334"/>
      <c r="BG2" s="334"/>
      <c r="BH2" s="334"/>
      <c r="BI2" s="334"/>
    </row>
    <row r="3" spans="1:61" ht="18.75" customHeight="1" x14ac:dyDescent="0.25">
      <c r="A3" s="334"/>
      <c r="B3" s="742"/>
      <c r="C3" s="742"/>
      <c r="D3" s="742"/>
      <c r="E3" s="742"/>
      <c r="F3" s="742"/>
      <c r="G3" s="742"/>
      <c r="H3" s="742"/>
      <c r="I3" s="742"/>
      <c r="J3" s="749"/>
      <c r="K3" s="742"/>
      <c r="L3" s="742"/>
      <c r="M3" s="742"/>
      <c r="N3" s="742"/>
      <c r="O3" s="742"/>
      <c r="P3" s="742"/>
      <c r="Q3" s="742"/>
      <c r="R3" s="742"/>
      <c r="S3" s="742"/>
      <c r="T3" s="742"/>
      <c r="U3" s="742"/>
      <c r="V3" s="742"/>
      <c r="W3" s="742"/>
      <c r="X3" s="742"/>
      <c r="Y3" s="742"/>
      <c r="Z3" s="742"/>
      <c r="AA3" s="742"/>
      <c r="AB3" s="742"/>
      <c r="AC3" s="742"/>
      <c r="AD3" s="742"/>
      <c r="AE3" s="742"/>
      <c r="AF3" s="742"/>
      <c r="AG3" s="742"/>
      <c r="AH3" s="742"/>
      <c r="AI3" s="742"/>
      <c r="AJ3" s="742"/>
      <c r="AK3" s="742"/>
      <c r="AL3" s="742"/>
      <c r="AM3" s="749"/>
      <c r="AN3" s="334"/>
      <c r="AO3" s="334"/>
      <c r="AP3" s="334"/>
      <c r="AQ3" s="334"/>
      <c r="AR3" s="334"/>
      <c r="AS3" s="334"/>
      <c r="AT3" s="334"/>
      <c r="AU3" s="334"/>
      <c r="AV3" s="334"/>
      <c r="AW3" s="334"/>
      <c r="AX3" s="334"/>
      <c r="AY3" s="334"/>
      <c r="AZ3" s="334"/>
      <c r="BA3" s="334"/>
      <c r="BB3" s="334"/>
      <c r="BC3" s="334"/>
      <c r="BD3" s="334"/>
      <c r="BE3" s="334"/>
      <c r="BF3" s="334"/>
      <c r="BG3" s="334"/>
      <c r="BH3" s="334"/>
      <c r="BI3" s="334"/>
    </row>
    <row r="4" spans="1:61" ht="15" customHeight="1" x14ac:dyDescent="0.25">
      <c r="A4" s="334"/>
      <c r="B4" s="742"/>
      <c r="C4" s="742"/>
      <c r="D4" s="742"/>
      <c r="E4" s="742"/>
      <c r="F4" s="742"/>
      <c r="G4" s="742"/>
      <c r="H4" s="742"/>
      <c r="I4" s="742"/>
      <c r="J4" s="749"/>
      <c r="K4" s="749"/>
      <c r="L4" s="749"/>
      <c r="M4" s="749"/>
      <c r="N4" s="749"/>
      <c r="O4" s="749"/>
      <c r="P4" s="749"/>
      <c r="Q4" s="749"/>
      <c r="R4" s="749"/>
      <c r="S4" s="749"/>
      <c r="T4" s="749"/>
      <c r="U4" s="749"/>
      <c r="V4" s="749"/>
      <c r="W4" s="749"/>
      <c r="X4" s="749"/>
      <c r="Y4" s="749"/>
      <c r="Z4" s="749"/>
      <c r="AA4" s="749"/>
      <c r="AB4" s="749"/>
      <c r="AC4" s="749"/>
      <c r="AD4" s="749"/>
      <c r="AE4" s="749"/>
      <c r="AF4" s="749"/>
      <c r="AG4" s="749"/>
      <c r="AH4" s="749"/>
      <c r="AI4" s="749"/>
      <c r="AJ4" s="749"/>
      <c r="AK4" s="749"/>
      <c r="AL4" s="749"/>
      <c r="AM4" s="749"/>
      <c r="AN4" s="334"/>
      <c r="AO4" s="334"/>
      <c r="AP4" s="334"/>
      <c r="AQ4" s="334"/>
      <c r="AR4" s="334"/>
      <c r="AS4" s="334"/>
      <c r="AT4" s="334"/>
      <c r="AU4" s="334"/>
      <c r="AV4" s="334"/>
      <c r="AW4" s="334"/>
      <c r="AX4" s="334"/>
      <c r="AY4" s="334"/>
      <c r="AZ4" s="334"/>
      <c r="BA4" s="334"/>
      <c r="BB4" s="334"/>
      <c r="BC4" s="334"/>
      <c r="BD4" s="334"/>
      <c r="BE4" s="334"/>
      <c r="BF4" s="334"/>
      <c r="BG4" s="334"/>
      <c r="BH4" s="334"/>
      <c r="BI4" s="334"/>
    </row>
    <row r="5" spans="1:61" ht="15.75" thickBot="1" x14ac:dyDescent="0.3">
      <c r="A5" s="334"/>
      <c r="B5" s="334"/>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c r="AD5" s="334"/>
      <c r="AE5" s="334"/>
      <c r="AF5" s="334"/>
      <c r="AG5" s="334"/>
      <c r="AH5" s="334"/>
      <c r="AI5" s="334"/>
      <c r="AJ5" s="334"/>
      <c r="AK5" s="334"/>
      <c r="AL5" s="334"/>
      <c r="AM5" s="334"/>
      <c r="AN5" s="334"/>
      <c r="AO5" s="334"/>
      <c r="AP5" s="334"/>
      <c r="AQ5" s="334"/>
      <c r="AR5" s="334"/>
      <c r="AS5" s="334"/>
      <c r="AT5" s="334"/>
      <c r="AU5" s="334"/>
      <c r="AV5" s="334"/>
      <c r="AW5" s="334"/>
      <c r="AX5" s="334"/>
      <c r="AY5" s="334"/>
      <c r="AZ5" s="334"/>
      <c r="BA5" s="334"/>
      <c r="BB5" s="334"/>
      <c r="BC5" s="334"/>
      <c r="BD5" s="334"/>
      <c r="BE5" s="334"/>
      <c r="BF5" s="334"/>
      <c r="BG5" s="334"/>
      <c r="BH5" s="334"/>
      <c r="BI5" s="334"/>
    </row>
    <row r="6" spans="1:61" ht="15" customHeight="1" x14ac:dyDescent="0.25">
      <c r="A6" s="334"/>
      <c r="B6" s="750" t="s">
        <v>2</v>
      </c>
      <c r="C6" s="749"/>
      <c r="D6" s="743"/>
      <c r="E6" s="738" t="s">
        <v>3</v>
      </c>
      <c r="F6" s="739"/>
      <c r="G6" s="739"/>
      <c r="H6" s="739"/>
      <c r="I6" s="740"/>
      <c r="J6" s="335" t="s">
        <v>18</v>
      </c>
      <c r="K6" s="336" t="s">
        <v>18</v>
      </c>
      <c r="L6" s="336" t="s">
        <v>18</v>
      </c>
      <c r="M6" s="336" t="s">
        <v>18</v>
      </c>
      <c r="N6" s="336" t="s">
        <v>18</v>
      </c>
      <c r="O6" s="337" t="s">
        <v>18</v>
      </c>
      <c r="P6" s="335" t="s">
        <v>18</v>
      </c>
      <c r="Q6" s="336" t="s">
        <v>18</v>
      </c>
      <c r="R6" s="336" t="s">
        <v>18</v>
      </c>
      <c r="S6" s="336" t="s">
        <v>18</v>
      </c>
      <c r="T6" s="336" t="s">
        <v>18</v>
      </c>
      <c r="U6" s="337" t="s">
        <v>18</v>
      </c>
      <c r="V6" s="335" t="s">
        <v>18</v>
      </c>
      <c r="W6" s="336" t="s">
        <v>18</v>
      </c>
      <c r="X6" s="336" t="s">
        <v>18</v>
      </c>
      <c r="Y6" s="336" t="s">
        <v>18</v>
      </c>
      <c r="Z6" s="336" t="s">
        <v>18</v>
      </c>
      <c r="AA6" s="337" t="s">
        <v>18</v>
      </c>
      <c r="AB6" s="335" t="s">
        <v>18</v>
      </c>
      <c r="AC6" s="336" t="s">
        <v>18</v>
      </c>
      <c r="AD6" s="336" t="s">
        <v>18</v>
      </c>
      <c r="AE6" s="336" t="s">
        <v>18</v>
      </c>
      <c r="AF6" s="336" t="s">
        <v>18</v>
      </c>
      <c r="AG6" s="337" t="s">
        <v>18</v>
      </c>
      <c r="AH6" s="338" t="s">
        <v>18</v>
      </c>
      <c r="AI6" s="339" t="s">
        <v>18</v>
      </c>
      <c r="AJ6" s="339" t="s">
        <v>18</v>
      </c>
      <c r="AK6" s="339" t="s">
        <v>18</v>
      </c>
      <c r="AL6" s="339" t="s">
        <v>18</v>
      </c>
      <c r="AM6" s="340" t="s">
        <v>18</v>
      </c>
      <c r="AN6" s="334"/>
      <c r="AO6" s="751" t="s">
        <v>4</v>
      </c>
      <c r="AP6" s="752"/>
      <c r="AQ6" s="752"/>
      <c r="AR6" s="752"/>
      <c r="AS6" s="752"/>
      <c r="AT6" s="753"/>
      <c r="AU6" s="334"/>
      <c r="AV6" s="334"/>
      <c r="AW6" s="334"/>
      <c r="AX6" s="334"/>
      <c r="AY6" s="334"/>
      <c r="AZ6" s="334"/>
      <c r="BA6" s="334"/>
      <c r="BB6" s="334"/>
      <c r="BC6" s="334"/>
      <c r="BD6" s="334"/>
      <c r="BE6" s="334"/>
      <c r="BF6" s="334"/>
      <c r="BG6" s="334"/>
      <c r="BH6" s="334"/>
      <c r="BI6" s="334"/>
    </row>
    <row r="7" spans="1:61" ht="15" customHeight="1" x14ac:dyDescent="0.25">
      <c r="A7" s="334"/>
      <c r="B7" s="749"/>
      <c r="C7" s="742"/>
      <c r="D7" s="743"/>
      <c r="E7" s="741"/>
      <c r="F7" s="742"/>
      <c r="G7" s="742"/>
      <c r="H7" s="742"/>
      <c r="I7" s="743"/>
      <c r="J7" s="341" t="s">
        <v>18</v>
      </c>
      <c r="K7" s="342" t="s">
        <v>18</v>
      </c>
      <c r="L7" s="342" t="s">
        <v>18</v>
      </c>
      <c r="M7" s="342" t="s">
        <v>18</v>
      </c>
      <c r="N7" s="342" t="s">
        <v>18</v>
      </c>
      <c r="O7" s="343" t="s">
        <v>18</v>
      </c>
      <c r="P7" s="341" t="s">
        <v>18</v>
      </c>
      <c r="Q7" s="342" t="s">
        <v>18</v>
      </c>
      <c r="R7" s="342" t="s">
        <v>18</v>
      </c>
      <c r="S7" s="342" t="s">
        <v>18</v>
      </c>
      <c r="T7" s="342" t="s">
        <v>18</v>
      </c>
      <c r="U7" s="343" t="s">
        <v>18</v>
      </c>
      <c r="V7" s="341" t="s">
        <v>18</v>
      </c>
      <c r="W7" s="342" t="s">
        <v>18</v>
      </c>
      <c r="X7" s="342" t="s">
        <v>18</v>
      </c>
      <c r="Y7" s="342" t="s">
        <v>18</v>
      </c>
      <c r="Z7" s="342" t="s">
        <v>18</v>
      </c>
      <c r="AA7" s="343" t="s">
        <v>18</v>
      </c>
      <c r="AB7" s="341" t="s">
        <v>18</v>
      </c>
      <c r="AC7" s="342" t="s">
        <v>18</v>
      </c>
      <c r="AD7" s="342" t="s">
        <v>18</v>
      </c>
      <c r="AE7" s="342" t="s">
        <v>18</v>
      </c>
      <c r="AF7" s="342" t="s">
        <v>18</v>
      </c>
      <c r="AG7" s="343" t="s">
        <v>18</v>
      </c>
      <c r="AH7" s="344" t="s">
        <v>18</v>
      </c>
      <c r="AI7" s="345" t="s">
        <v>18</v>
      </c>
      <c r="AJ7" s="345" t="s">
        <v>18</v>
      </c>
      <c r="AK7" s="345" t="s">
        <v>18</v>
      </c>
      <c r="AL7" s="345" t="s">
        <v>18</v>
      </c>
      <c r="AM7" s="346" t="s">
        <v>18</v>
      </c>
      <c r="AN7" s="334"/>
      <c r="AO7" s="754"/>
      <c r="AP7" s="742"/>
      <c r="AQ7" s="742"/>
      <c r="AR7" s="742"/>
      <c r="AS7" s="742"/>
      <c r="AT7" s="755"/>
      <c r="AU7" s="334"/>
      <c r="AV7" s="334"/>
      <c r="AW7" s="334"/>
      <c r="AX7" s="334"/>
      <c r="AY7" s="334"/>
      <c r="AZ7" s="334"/>
      <c r="BA7" s="334"/>
      <c r="BB7" s="334"/>
      <c r="BC7" s="334"/>
      <c r="BD7" s="334"/>
      <c r="BE7" s="334"/>
      <c r="BF7" s="334"/>
      <c r="BG7" s="334"/>
      <c r="BH7" s="334"/>
      <c r="BI7" s="334"/>
    </row>
    <row r="8" spans="1:61" ht="15" customHeight="1" x14ac:dyDescent="0.25">
      <c r="A8" s="334"/>
      <c r="B8" s="749"/>
      <c r="C8" s="742"/>
      <c r="D8" s="743"/>
      <c r="E8" s="741"/>
      <c r="F8" s="742"/>
      <c r="G8" s="742"/>
      <c r="H8" s="742"/>
      <c r="I8" s="743"/>
      <c r="J8" s="341" t="s">
        <v>18</v>
      </c>
      <c r="K8" s="342" t="s">
        <v>18</v>
      </c>
      <c r="L8" s="342" t="s">
        <v>18</v>
      </c>
      <c r="M8" s="342" t="s">
        <v>18</v>
      </c>
      <c r="N8" s="342" t="s">
        <v>18</v>
      </c>
      <c r="O8" s="343" t="s">
        <v>18</v>
      </c>
      <c r="P8" s="341" t="s">
        <v>18</v>
      </c>
      <c r="Q8" s="342" t="s">
        <v>18</v>
      </c>
      <c r="R8" s="342" t="s">
        <v>18</v>
      </c>
      <c r="S8" s="342" t="s">
        <v>18</v>
      </c>
      <c r="T8" s="342" t="s">
        <v>18</v>
      </c>
      <c r="U8" s="343" t="s">
        <v>18</v>
      </c>
      <c r="V8" s="341" t="s">
        <v>18</v>
      </c>
      <c r="W8" s="342" t="s">
        <v>18</v>
      </c>
      <c r="X8" s="342" t="s">
        <v>18</v>
      </c>
      <c r="Y8" s="342" t="s">
        <v>18</v>
      </c>
      <c r="Z8" s="342" t="s">
        <v>18</v>
      </c>
      <c r="AA8" s="343" t="s">
        <v>18</v>
      </c>
      <c r="AB8" s="341" t="s">
        <v>18</v>
      </c>
      <c r="AC8" s="342" t="s">
        <v>18</v>
      </c>
      <c r="AD8" s="342" t="s">
        <v>18</v>
      </c>
      <c r="AE8" s="342" t="s">
        <v>18</v>
      </c>
      <c r="AF8" s="342" t="s">
        <v>18</v>
      </c>
      <c r="AG8" s="343" t="s">
        <v>18</v>
      </c>
      <c r="AH8" s="344" t="s">
        <v>18</v>
      </c>
      <c r="AI8" s="345" t="s">
        <v>18</v>
      </c>
      <c r="AJ8" s="345" t="s">
        <v>18</v>
      </c>
      <c r="AK8" s="345" t="s">
        <v>18</v>
      </c>
      <c r="AL8" s="345" t="s">
        <v>18</v>
      </c>
      <c r="AM8" s="346" t="s">
        <v>18</v>
      </c>
      <c r="AN8" s="334"/>
      <c r="AO8" s="754"/>
      <c r="AP8" s="742"/>
      <c r="AQ8" s="742"/>
      <c r="AR8" s="742"/>
      <c r="AS8" s="742"/>
      <c r="AT8" s="755"/>
      <c r="AU8" s="334"/>
      <c r="AV8" s="334"/>
      <c r="AW8" s="334"/>
      <c r="AX8" s="334"/>
      <c r="AY8" s="334"/>
      <c r="AZ8" s="334"/>
      <c r="BA8" s="334"/>
      <c r="BB8" s="334"/>
      <c r="BC8" s="334"/>
      <c r="BD8" s="334"/>
      <c r="BE8" s="334"/>
      <c r="BF8" s="334"/>
      <c r="BG8" s="334"/>
      <c r="BH8" s="334"/>
      <c r="BI8" s="334"/>
    </row>
    <row r="9" spans="1:61" ht="15" customHeight="1" x14ac:dyDescent="0.25">
      <c r="A9" s="334"/>
      <c r="B9" s="749"/>
      <c r="C9" s="742"/>
      <c r="D9" s="743"/>
      <c r="E9" s="741"/>
      <c r="F9" s="742"/>
      <c r="G9" s="742"/>
      <c r="H9" s="742"/>
      <c r="I9" s="743"/>
      <c r="J9" s="341" t="s">
        <v>18</v>
      </c>
      <c r="K9" s="342" t="s">
        <v>18</v>
      </c>
      <c r="L9" s="342" t="s">
        <v>18</v>
      </c>
      <c r="M9" s="342" t="s">
        <v>18</v>
      </c>
      <c r="N9" s="342" t="s">
        <v>18</v>
      </c>
      <c r="O9" s="343" t="s">
        <v>18</v>
      </c>
      <c r="P9" s="341" t="s">
        <v>18</v>
      </c>
      <c r="Q9" s="342" t="s">
        <v>18</v>
      </c>
      <c r="R9" s="342" t="s">
        <v>18</v>
      </c>
      <c r="S9" s="342" t="s">
        <v>18</v>
      </c>
      <c r="T9" s="342" t="s">
        <v>18</v>
      </c>
      <c r="U9" s="343" t="s">
        <v>18</v>
      </c>
      <c r="V9" s="341" t="s">
        <v>18</v>
      </c>
      <c r="W9" s="342" t="s">
        <v>18</v>
      </c>
      <c r="X9" s="342" t="s">
        <v>18</v>
      </c>
      <c r="Y9" s="342" t="s">
        <v>18</v>
      </c>
      <c r="Z9" s="342" t="s">
        <v>18</v>
      </c>
      <c r="AA9" s="343" t="s">
        <v>18</v>
      </c>
      <c r="AB9" s="341" t="s">
        <v>18</v>
      </c>
      <c r="AC9" s="342" t="s">
        <v>18</v>
      </c>
      <c r="AD9" s="342" t="s">
        <v>18</v>
      </c>
      <c r="AE9" s="342" t="s">
        <v>18</v>
      </c>
      <c r="AF9" s="342" t="s">
        <v>18</v>
      </c>
      <c r="AG9" s="343" t="s">
        <v>18</v>
      </c>
      <c r="AH9" s="344" t="s">
        <v>18</v>
      </c>
      <c r="AI9" s="345" t="s">
        <v>18</v>
      </c>
      <c r="AJ9" s="345" t="s">
        <v>18</v>
      </c>
      <c r="AK9" s="345" t="s">
        <v>18</v>
      </c>
      <c r="AL9" s="345" t="s">
        <v>18</v>
      </c>
      <c r="AM9" s="346" t="s">
        <v>18</v>
      </c>
      <c r="AN9" s="334"/>
      <c r="AO9" s="754"/>
      <c r="AP9" s="742"/>
      <c r="AQ9" s="742"/>
      <c r="AR9" s="742"/>
      <c r="AS9" s="742"/>
      <c r="AT9" s="755"/>
      <c r="AU9" s="334"/>
      <c r="AV9" s="334"/>
      <c r="AW9" s="334"/>
      <c r="AX9" s="334"/>
      <c r="AY9" s="334"/>
      <c r="AZ9" s="334"/>
      <c r="BA9" s="334"/>
      <c r="BB9" s="334"/>
      <c r="BC9" s="334"/>
      <c r="BD9" s="334"/>
      <c r="BE9" s="334"/>
      <c r="BF9" s="334"/>
      <c r="BG9" s="334"/>
      <c r="BH9" s="334"/>
      <c r="BI9" s="334"/>
    </row>
    <row r="10" spans="1:61" ht="15" customHeight="1" x14ac:dyDescent="0.25">
      <c r="A10" s="334"/>
      <c r="B10" s="749"/>
      <c r="C10" s="742"/>
      <c r="D10" s="743"/>
      <c r="E10" s="741"/>
      <c r="F10" s="742"/>
      <c r="G10" s="742"/>
      <c r="H10" s="742"/>
      <c r="I10" s="743"/>
      <c r="J10" s="341" t="s">
        <v>18</v>
      </c>
      <c r="K10" s="342" t="s">
        <v>18</v>
      </c>
      <c r="L10" s="342" t="s">
        <v>18</v>
      </c>
      <c r="M10" s="342" t="s">
        <v>18</v>
      </c>
      <c r="N10" s="342" t="s">
        <v>18</v>
      </c>
      <c r="O10" s="343" t="s">
        <v>18</v>
      </c>
      <c r="P10" s="341" t="s">
        <v>18</v>
      </c>
      <c r="Q10" s="342" t="s">
        <v>18</v>
      </c>
      <c r="R10" s="342" t="s">
        <v>18</v>
      </c>
      <c r="S10" s="342" t="s">
        <v>18</v>
      </c>
      <c r="T10" s="342" t="s">
        <v>18</v>
      </c>
      <c r="U10" s="343" t="s">
        <v>18</v>
      </c>
      <c r="V10" s="341" t="s">
        <v>18</v>
      </c>
      <c r="W10" s="342" t="s">
        <v>18</v>
      </c>
      <c r="X10" s="342" t="s">
        <v>18</v>
      </c>
      <c r="Y10" s="342" t="s">
        <v>18</v>
      </c>
      <c r="Z10" s="342" t="s">
        <v>18</v>
      </c>
      <c r="AA10" s="343" t="s">
        <v>18</v>
      </c>
      <c r="AB10" s="341" t="s">
        <v>18</v>
      </c>
      <c r="AC10" s="342" t="s">
        <v>18</v>
      </c>
      <c r="AD10" s="342" t="s">
        <v>18</v>
      </c>
      <c r="AE10" s="342" t="s">
        <v>18</v>
      </c>
      <c r="AF10" s="342" t="s">
        <v>18</v>
      </c>
      <c r="AG10" s="343" t="s">
        <v>18</v>
      </c>
      <c r="AH10" s="344" t="s">
        <v>18</v>
      </c>
      <c r="AI10" s="345" t="s">
        <v>18</v>
      </c>
      <c r="AJ10" s="345" t="s">
        <v>18</v>
      </c>
      <c r="AK10" s="345" t="s">
        <v>18</v>
      </c>
      <c r="AL10" s="345" t="s">
        <v>18</v>
      </c>
      <c r="AM10" s="346" t="s">
        <v>18</v>
      </c>
      <c r="AN10" s="334"/>
      <c r="AO10" s="754"/>
      <c r="AP10" s="742"/>
      <c r="AQ10" s="742"/>
      <c r="AR10" s="742"/>
      <c r="AS10" s="742"/>
      <c r="AT10" s="755"/>
      <c r="AU10" s="334"/>
      <c r="AV10" s="334"/>
      <c r="AW10" s="334"/>
      <c r="AX10" s="334"/>
      <c r="AY10" s="334"/>
      <c r="AZ10" s="334"/>
      <c r="BA10" s="334"/>
      <c r="BB10" s="334"/>
      <c r="BC10" s="334"/>
      <c r="BD10" s="334"/>
      <c r="BE10" s="334"/>
      <c r="BF10" s="334"/>
      <c r="BG10" s="334"/>
      <c r="BH10" s="334"/>
      <c r="BI10" s="334"/>
    </row>
    <row r="11" spans="1:61" ht="15" customHeight="1" x14ac:dyDescent="0.25">
      <c r="A11" s="334"/>
      <c r="B11" s="749"/>
      <c r="C11" s="742"/>
      <c r="D11" s="743"/>
      <c r="E11" s="741"/>
      <c r="F11" s="742"/>
      <c r="G11" s="742"/>
      <c r="H11" s="742"/>
      <c r="I11" s="743"/>
      <c r="J11" s="341" t="s">
        <v>18</v>
      </c>
      <c r="K11" s="342" t="s">
        <v>18</v>
      </c>
      <c r="L11" s="342" t="s">
        <v>18</v>
      </c>
      <c r="M11" s="342" t="s">
        <v>18</v>
      </c>
      <c r="N11" s="342" t="s">
        <v>18</v>
      </c>
      <c r="O11" s="343" t="s">
        <v>18</v>
      </c>
      <c r="P11" s="341" t="s">
        <v>18</v>
      </c>
      <c r="Q11" s="342" t="s">
        <v>18</v>
      </c>
      <c r="R11" s="342" t="s">
        <v>18</v>
      </c>
      <c r="S11" s="342" t="s">
        <v>18</v>
      </c>
      <c r="T11" s="342" t="s">
        <v>18</v>
      </c>
      <c r="U11" s="343" t="s">
        <v>18</v>
      </c>
      <c r="V11" s="341" t="s">
        <v>18</v>
      </c>
      <c r="W11" s="342" t="s">
        <v>18</v>
      </c>
      <c r="X11" s="342" t="s">
        <v>18</v>
      </c>
      <c r="Y11" s="342" t="s">
        <v>18</v>
      </c>
      <c r="Z11" s="342" t="s">
        <v>18</v>
      </c>
      <c r="AA11" s="343" t="s">
        <v>18</v>
      </c>
      <c r="AB11" s="341" t="s">
        <v>18</v>
      </c>
      <c r="AC11" s="342" t="s">
        <v>18</v>
      </c>
      <c r="AD11" s="342" t="s">
        <v>18</v>
      </c>
      <c r="AE11" s="342" t="s">
        <v>18</v>
      </c>
      <c r="AF11" s="342" t="s">
        <v>18</v>
      </c>
      <c r="AG11" s="343" t="s">
        <v>18</v>
      </c>
      <c r="AH11" s="344" t="s">
        <v>18</v>
      </c>
      <c r="AI11" s="345" t="s">
        <v>18</v>
      </c>
      <c r="AJ11" s="345" t="s">
        <v>18</v>
      </c>
      <c r="AK11" s="345" t="s">
        <v>18</v>
      </c>
      <c r="AL11" s="345" t="s">
        <v>18</v>
      </c>
      <c r="AM11" s="346" t="s">
        <v>18</v>
      </c>
      <c r="AN11" s="334"/>
      <c r="AO11" s="754"/>
      <c r="AP11" s="742"/>
      <c r="AQ11" s="742"/>
      <c r="AR11" s="742"/>
      <c r="AS11" s="742"/>
      <c r="AT11" s="755"/>
      <c r="AU11" s="334"/>
      <c r="AV11" s="334"/>
      <c r="AW11" s="334"/>
      <c r="AX11" s="334"/>
      <c r="AY11" s="334"/>
      <c r="AZ11" s="334"/>
      <c r="BA11" s="334"/>
      <c r="BB11" s="334"/>
      <c r="BC11" s="334"/>
      <c r="BD11" s="334"/>
      <c r="BE11" s="334"/>
      <c r="BF11" s="334"/>
      <c r="BG11" s="334"/>
      <c r="BH11" s="334"/>
      <c r="BI11" s="334"/>
    </row>
    <row r="12" spans="1:61" ht="15" customHeight="1" x14ac:dyDescent="0.25">
      <c r="A12" s="334"/>
      <c r="B12" s="749"/>
      <c r="C12" s="742"/>
      <c r="D12" s="743"/>
      <c r="E12" s="741"/>
      <c r="F12" s="742"/>
      <c r="G12" s="742"/>
      <c r="H12" s="742"/>
      <c r="I12" s="743"/>
      <c r="J12" s="341" t="s">
        <v>18</v>
      </c>
      <c r="K12" s="342" t="s">
        <v>18</v>
      </c>
      <c r="L12" s="342" t="s">
        <v>18</v>
      </c>
      <c r="M12" s="342" t="s">
        <v>18</v>
      </c>
      <c r="N12" s="342" t="s">
        <v>18</v>
      </c>
      <c r="O12" s="343" t="s">
        <v>18</v>
      </c>
      <c r="P12" s="341" t="s">
        <v>18</v>
      </c>
      <c r="Q12" s="342" t="s">
        <v>18</v>
      </c>
      <c r="R12" s="342" t="s">
        <v>18</v>
      </c>
      <c r="S12" s="342" t="s">
        <v>18</v>
      </c>
      <c r="T12" s="342" t="s">
        <v>18</v>
      </c>
      <c r="U12" s="343" t="s">
        <v>18</v>
      </c>
      <c r="V12" s="341" t="s">
        <v>18</v>
      </c>
      <c r="W12" s="342" t="s">
        <v>18</v>
      </c>
      <c r="X12" s="342" t="s">
        <v>18</v>
      </c>
      <c r="Y12" s="342" t="s">
        <v>18</v>
      </c>
      <c r="Z12" s="342" t="s">
        <v>18</v>
      </c>
      <c r="AA12" s="343" t="s">
        <v>18</v>
      </c>
      <c r="AB12" s="341" t="s">
        <v>18</v>
      </c>
      <c r="AC12" s="342" t="s">
        <v>18</v>
      </c>
      <c r="AD12" s="342" t="s">
        <v>18</v>
      </c>
      <c r="AE12" s="342" t="s">
        <v>18</v>
      </c>
      <c r="AF12" s="342" t="s">
        <v>18</v>
      </c>
      <c r="AG12" s="343" t="s">
        <v>18</v>
      </c>
      <c r="AH12" s="344" t="s">
        <v>18</v>
      </c>
      <c r="AI12" s="345" t="s">
        <v>18</v>
      </c>
      <c r="AJ12" s="345" t="s">
        <v>18</v>
      </c>
      <c r="AK12" s="345" t="s">
        <v>18</v>
      </c>
      <c r="AL12" s="345" t="s">
        <v>18</v>
      </c>
      <c r="AM12" s="346" t="s">
        <v>18</v>
      </c>
      <c r="AN12" s="334"/>
      <c r="AO12" s="754"/>
      <c r="AP12" s="742"/>
      <c r="AQ12" s="742"/>
      <c r="AR12" s="742"/>
      <c r="AS12" s="742"/>
      <c r="AT12" s="755"/>
      <c r="AU12" s="334"/>
      <c r="AV12" s="334"/>
      <c r="AW12" s="334"/>
      <c r="AX12" s="334"/>
      <c r="AY12" s="334"/>
      <c r="AZ12" s="334"/>
      <c r="BA12" s="334"/>
      <c r="BB12" s="334"/>
      <c r="BC12" s="334"/>
      <c r="BD12" s="334"/>
      <c r="BE12" s="334"/>
      <c r="BF12" s="334"/>
      <c r="BG12" s="334"/>
      <c r="BH12" s="334"/>
      <c r="BI12" s="334"/>
    </row>
    <row r="13" spans="1:61" ht="15" customHeight="1" x14ac:dyDescent="0.25">
      <c r="A13" s="334"/>
      <c r="B13" s="749"/>
      <c r="C13" s="742"/>
      <c r="D13" s="743"/>
      <c r="E13" s="741"/>
      <c r="F13" s="742"/>
      <c r="G13" s="742"/>
      <c r="H13" s="742"/>
      <c r="I13" s="743"/>
      <c r="J13" s="341" t="s">
        <v>18</v>
      </c>
      <c r="K13" s="342" t="s">
        <v>18</v>
      </c>
      <c r="L13" s="342" t="s">
        <v>18</v>
      </c>
      <c r="M13" s="342" t="s">
        <v>18</v>
      </c>
      <c r="N13" s="342" t="s">
        <v>18</v>
      </c>
      <c r="O13" s="343" t="s">
        <v>18</v>
      </c>
      <c r="P13" s="341" t="s">
        <v>18</v>
      </c>
      <c r="Q13" s="342" t="s">
        <v>18</v>
      </c>
      <c r="R13" s="342" t="s">
        <v>18</v>
      </c>
      <c r="S13" s="342" t="s">
        <v>18</v>
      </c>
      <c r="T13" s="342" t="s">
        <v>18</v>
      </c>
      <c r="U13" s="343" t="s">
        <v>18</v>
      </c>
      <c r="V13" s="341" t="s">
        <v>18</v>
      </c>
      <c r="W13" s="342" t="s">
        <v>18</v>
      </c>
      <c r="X13" s="342" t="s">
        <v>18</v>
      </c>
      <c r="Y13" s="342" t="s">
        <v>18</v>
      </c>
      <c r="Z13" s="342" t="s">
        <v>18</v>
      </c>
      <c r="AA13" s="343" t="s">
        <v>18</v>
      </c>
      <c r="AB13" s="341" t="s">
        <v>18</v>
      </c>
      <c r="AC13" s="342" t="s">
        <v>18</v>
      </c>
      <c r="AD13" s="342" t="s">
        <v>18</v>
      </c>
      <c r="AE13" s="342" t="s">
        <v>18</v>
      </c>
      <c r="AF13" s="342" t="s">
        <v>18</v>
      </c>
      <c r="AG13" s="343" t="s">
        <v>18</v>
      </c>
      <c r="AH13" s="344" t="s">
        <v>18</v>
      </c>
      <c r="AI13" s="345" t="s">
        <v>18</v>
      </c>
      <c r="AJ13" s="345" t="s">
        <v>18</v>
      </c>
      <c r="AK13" s="345" t="s">
        <v>18</v>
      </c>
      <c r="AL13" s="345" t="s">
        <v>18</v>
      </c>
      <c r="AM13" s="346" t="s">
        <v>18</v>
      </c>
      <c r="AN13" s="334"/>
      <c r="AO13" s="754"/>
      <c r="AP13" s="742"/>
      <c r="AQ13" s="742"/>
      <c r="AR13" s="742"/>
      <c r="AS13" s="742"/>
      <c r="AT13" s="755"/>
      <c r="AU13" s="334"/>
      <c r="AV13" s="334"/>
      <c r="AW13" s="334"/>
      <c r="AX13" s="334"/>
      <c r="AY13" s="334"/>
      <c r="AZ13" s="334"/>
      <c r="BA13" s="334"/>
      <c r="BB13" s="334"/>
      <c r="BC13" s="334"/>
      <c r="BD13" s="334"/>
      <c r="BE13" s="334"/>
      <c r="BF13" s="334"/>
      <c r="BG13" s="334"/>
      <c r="BH13" s="334"/>
      <c r="BI13" s="334"/>
    </row>
    <row r="14" spans="1:61" ht="15" customHeight="1" x14ac:dyDescent="0.25">
      <c r="A14" s="334"/>
      <c r="B14" s="749"/>
      <c r="C14" s="742"/>
      <c r="D14" s="743"/>
      <c r="E14" s="741"/>
      <c r="F14" s="742"/>
      <c r="G14" s="742"/>
      <c r="H14" s="742"/>
      <c r="I14" s="743"/>
      <c r="J14" s="341" t="s">
        <v>18</v>
      </c>
      <c r="K14" s="342" t="s">
        <v>18</v>
      </c>
      <c r="L14" s="342" t="s">
        <v>18</v>
      </c>
      <c r="M14" s="342" t="s">
        <v>18</v>
      </c>
      <c r="N14" s="342" t="s">
        <v>18</v>
      </c>
      <c r="O14" s="343" t="s">
        <v>18</v>
      </c>
      <c r="P14" s="341" t="s">
        <v>18</v>
      </c>
      <c r="Q14" s="342" t="s">
        <v>18</v>
      </c>
      <c r="R14" s="342" t="s">
        <v>18</v>
      </c>
      <c r="S14" s="342" t="s">
        <v>18</v>
      </c>
      <c r="T14" s="342" t="s">
        <v>18</v>
      </c>
      <c r="U14" s="343" t="s">
        <v>18</v>
      </c>
      <c r="V14" s="341" t="s">
        <v>18</v>
      </c>
      <c r="W14" s="342" t="s">
        <v>18</v>
      </c>
      <c r="X14" s="342" t="s">
        <v>18</v>
      </c>
      <c r="Y14" s="342" t="s">
        <v>18</v>
      </c>
      <c r="Z14" s="342" t="s">
        <v>18</v>
      </c>
      <c r="AA14" s="343" t="s">
        <v>18</v>
      </c>
      <c r="AB14" s="341" t="s">
        <v>18</v>
      </c>
      <c r="AC14" s="342" t="s">
        <v>18</v>
      </c>
      <c r="AD14" s="342" t="s">
        <v>18</v>
      </c>
      <c r="AE14" s="342" t="s">
        <v>18</v>
      </c>
      <c r="AF14" s="342" t="s">
        <v>18</v>
      </c>
      <c r="AG14" s="343" t="s">
        <v>18</v>
      </c>
      <c r="AH14" s="344" t="s">
        <v>18</v>
      </c>
      <c r="AI14" s="345" t="s">
        <v>18</v>
      </c>
      <c r="AJ14" s="345" t="s">
        <v>18</v>
      </c>
      <c r="AK14" s="345" t="s">
        <v>18</v>
      </c>
      <c r="AL14" s="345" t="s">
        <v>18</v>
      </c>
      <c r="AM14" s="346" t="s">
        <v>18</v>
      </c>
      <c r="AN14" s="334"/>
      <c r="AO14" s="754"/>
      <c r="AP14" s="742"/>
      <c r="AQ14" s="742"/>
      <c r="AR14" s="742"/>
      <c r="AS14" s="742"/>
      <c r="AT14" s="755"/>
      <c r="AU14" s="334"/>
      <c r="AV14" s="334"/>
      <c r="AW14" s="334"/>
      <c r="AX14" s="334"/>
      <c r="AY14" s="334"/>
      <c r="AZ14" s="334"/>
      <c r="BA14" s="334"/>
      <c r="BB14" s="334"/>
      <c r="BC14" s="334"/>
      <c r="BD14" s="334"/>
      <c r="BE14" s="334"/>
      <c r="BF14" s="334"/>
      <c r="BG14" s="334"/>
      <c r="BH14" s="334"/>
      <c r="BI14" s="334"/>
    </row>
    <row r="15" spans="1:61" ht="15.75" customHeight="1" thickBot="1" x14ac:dyDescent="0.3">
      <c r="A15" s="334"/>
      <c r="B15" s="749"/>
      <c r="C15" s="742"/>
      <c r="D15" s="743"/>
      <c r="E15" s="744"/>
      <c r="F15" s="745"/>
      <c r="G15" s="745"/>
      <c r="H15" s="745"/>
      <c r="I15" s="746"/>
      <c r="J15" s="347" t="s">
        <v>18</v>
      </c>
      <c r="K15" s="348" t="s">
        <v>18</v>
      </c>
      <c r="L15" s="348" t="s">
        <v>18</v>
      </c>
      <c r="M15" s="348" t="s">
        <v>18</v>
      </c>
      <c r="N15" s="348" t="s">
        <v>18</v>
      </c>
      <c r="O15" s="349" t="s">
        <v>18</v>
      </c>
      <c r="P15" s="341" t="s">
        <v>18</v>
      </c>
      <c r="Q15" s="342" t="s">
        <v>18</v>
      </c>
      <c r="R15" s="342" t="s">
        <v>18</v>
      </c>
      <c r="S15" s="342" t="s">
        <v>18</v>
      </c>
      <c r="T15" s="342" t="s">
        <v>18</v>
      </c>
      <c r="U15" s="343" t="s">
        <v>18</v>
      </c>
      <c r="V15" s="347" t="s">
        <v>18</v>
      </c>
      <c r="W15" s="348" t="s">
        <v>18</v>
      </c>
      <c r="X15" s="348" t="s">
        <v>18</v>
      </c>
      <c r="Y15" s="348" t="s">
        <v>18</v>
      </c>
      <c r="Z15" s="348" t="s">
        <v>18</v>
      </c>
      <c r="AA15" s="349" t="s">
        <v>18</v>
      </c>
      <c r="AB15" s="341" t="s">
        <v>18</v>
      </c>
      <c r="AC15" s="342" t="s">
        <v>18</v>
      </c>
      <c r="AD15" s="342" t="s">
        <v>18</v>
      </c>
      <c r="AE15" s="342" t="s">
        <v>18</v>
      </c>
      <c r="AF15" s="342" t="s">
        <v>18</v>
      </c>
      <c r="AG15" s="343" t="s">
        <v>18</v>
      </c>
      <c r="AH15" s="350" t="s">
        <v>18</v>
      </c>
      <c r="AI15" s="351" t="s">
        <v>18</v>
      </c>
      <c r="AJ15" s="351" t="s">
        <v>18</v>
      </c>
      <c r="AK15" s="351" t="s">
        <v>18</v>
      </c>
      <c r="AL15" s="351" t="s">
        <v>18</v>
      </c>
      <c r="AM15" s="352" t="s">
        <v>18</v>
      </c>
      <c r="AN15" s="334"/>
      <c r="AO15" s="756"/>
      <c r="AP15" s="757"/>
      <c r="AQ15" s="757"/>
      <c r="AR15" s="757"/>
      <c r="AS15" s="757"/>
      <c r="AT15" s="758"/>
      <c r="AU15" s="334"/>
      <c r="AV15" s="334"/>
      <c r="AW15" s="334"/>
      <c r="AX15" s="334"/>
      <c r="AY15" s="334"/>
      <c r="AZ15" s="334"/>
      <c r="BA15" s="334"/>
      <c r="BB15" s="334"/>
      <c r="BC15" s="334"/>
      <c r="BD15" s="334"/>
      <c r="BE15" s="334"/>
      <c r="BF15" s="334"/>
      <c r="BG15" s="334"/>
      <c r="BH15" s="334"/>
      <c r="BI15" s="334"/>
    </row>
    <row r="16" spans="1:61" ht="15" customHeight="1" x14ac:dyDescent="0.25">
      <c r="A16" s="334"/>
      <c r="B16" s="749"/>
      <c r="C16" s="742"/>
      <c r="D16" s="743"/>
      <c r="E16" s="738" t="s">
        <v>5</v>
      </c>
      <c r="F16" s="739"/>
      <c r="G16" s="739"/>
      <c r="H16" s="739"/>
      <c r="I16" s="739"/>
      <c r="J16" s="353" t="s">
        <v>18</v>
      </c>
      <c r="K16" s="354" t="s">
        <v>18</v>
      </c>
      <c r="L16" s="354" t="s">
        <v>18</v>
      </c>
      <c r="M16" s="354" t="s">
        <v>18</v>
      </c>
      <c r="N16" s="354" t="s">
        <v>18</v>
      </c>
      <c r="O16" s="355" t="s">
        <v>18</v>
      </c>
      <c r="P16" s="353" t="s">
        <v>18</v>
      </c>
      <c r="Q16" s="354" t="s">
        <v>18</v>
      </c>
      <c r="R16" s="354" t="s">
        <v>18</v>
      </c>
      <c r="S16" s="354" t="s">
        <v>18</v>
      </c>
      <c r="T16" s="354" t="s">
        <v>18</v>
      </c>
      <c r="U16" s="355" t="s">
        <v>18</v>
      </c>
      <c r="V16" s="335" t="s">
        <v>18</v>
      </c>
      <c r="W16" s="336" t="s">
        <v>18</v>
      </c>
      <c r="X16" s="336" t="s">
        <v>18</v>
      </c>
      <c r="Y16" s="336" t="s">
        <v>18</v>
      </c>
      <c r="Z16" s="336" t="s">
        <v>18</v>
      </c>
      <c r="AA16" s="337" t="s">
        <v>18</v>
      </c>
      <c r="AB16" s="335" t="s">
        <v>18</v>
      </c>
      <c r="AC16" s="336" t="s">
        <v>18</v>
      </c>
      <c r="AD16" s="336" t="s">
        <v>18</v>
      </c>
      <c r="AE16" s="336" t="s">
        <v>18</v>
      </c>
      <c r="AF16" s="336" t="s">
        <v>18</v>
      </c>
      <c r="AG16" s="337" t="s">
        <v>18</v>
      </c>
      <c r="AH16" s="338" t="s">
        <v>18</v>
      </c>
      <c r="AI16" s="339" t="s">
        <v>18</v>
      </c>
      <c r="AJ16" s="339" t="s">
        <v>18</v>
      </c>
      <c r="AK16" s="339" t="s">
        <v>18</v>
      </c>
      <c r="AL16" s="339" t="s">
        <v>18</v>
      </c>
      <c r="AM16" s="340" t="s">
        <v>18</v>
      </c>
      <c r="AN16" s="334"/>
      <c r="AO16" s="759" t="s">
        <v>6</v>
      </c>
      <c r="AP16" s="752"/>
      <c r="AQ16" s="752"/>
      <c r="AR16" s="752"/>
      <c r="AS16" s="752"/>
      <c r="AT16" s="753"/>
      <c r="AU16" s="334"/>
      <c r="AV16" s="334"/>
      <c r="AW16" s="334"/>
      <c r="AX16" s="334"/>
      <c r="AY16" s="334"/>
      <c r="AZ16" s="334"/>
      <c r="BA16" s="334"/>
      <c r="BB16" s="334"/>
      <c r="BC16" s="334"/>
      <c r="BD16" s="334"/>
      <c r="BE16" s="334"/>
      <c r="BF16" s="334"/>
      <c r="BG16" s="334"/>
      <c r="BH16" s="334"/>
      <c r="BI16" s="334"/>
    </row>
    <row r="17" spans="1:61" ht="15" customHeight="1" x14ac:dyDescent="0.25">
      <c r="A17" s="334"/>
      <c r="B17" s="749"/>
      <c r="C17" s="742"/>
      <c r="D17" s="743"/>
      <c r="E17" s="741"/>
      <c r="F17" s="742"/>
      <c r="G17" s="742"/>
      <c r="H17" s="742"/>
      <c r="I17" s="742"/>
      <c r="J17" s="356" t="s">
        <v>18</v>
      </c>
      <c r="K17" s="357" t="s">
        <v>18</v>
      </c>
      <c r="L17" s="357" t="s">
        <v>18</v>
      </c>
      <c r="M17" s="357" t="s">
        <v>18</v>
      </c>
      <c r="N17" s="357" t="s">
        <v>18</v>
      </c>
      <c r="O17" s="358" t="s">
        <v>18</v>
      </c>
      <c r="P17" s="356" t="s">
        <v>18</v>
      </c>
      <c r="Q17" s="357" t="s">
        <v>18</v>
      </c>
      <c r="R17" s="357" t="s">
        <v>18</v>
      </c>
      <c r="S17" s="357" t="s">
        <v>18</v>
      </c>
      <c r="T17" s="357" t="s">
        <v>18</v>
      </c>
      <c r="U17" s="358" t="s">
        <v>18</v>
      </c>
      <c r="V17" s="341" t="s">
        <v>18</v>
      </c>
      <c r="W17" s="342" t="s">
        <v>18</v>
      </c>
      <c r="X17" s="342" t="s">
        <v>18</v>
      </c>
      <c r="Y17" s="342" t="s">
        <v>18</v>
      </c>
      <c r="Z17" s="342" t="s">
        <v>18</v>
      </c>
      <c r="AA17" s="343" t="s">
        <v>18</v>
      </c>
      <c r="AB17" s="341" t="s">
        <v>18</v>
      </c>
      <c r="AC17" s="342" t="s">
        <v>18</v>
      </c>
      <c r="AD17" s="342" t="s">
        <v>18</v>
      </c>
      <c r="AE17" s="342" t="s">
        <v>18</v>
      </c>
      <c r="AF17" s="342" t="s">
        <v>18</v>
      </c>
      <c r="AG17" s="343" t="s">
        <v>18</v>
      </c>
      <c r="AH17" s="344" t="s">
        <v>18</v>
      </c>
      <c r="AI17" s="345" t="s">
        <v>18</v>
      </c>
      <c r="AJ17" s="345" t="s">
        <v>18</v>
      </c>
      <c r="AK17" s="345" t="s">
        <v>18</v>
      </c>
      <c r="AL17" s="345" t="s">
        <v>18</v>
      </c>
      <c r="AM17" s="346" t="s">
        <v>18</v>
      </c>
      <c r="AN17" s="334"/>
      <c r="AO17" s="754"/>
      <c r="AP17" s="742"/>
      <c r="AQ17" s="742"/>
      <c r="AR17" s="742"/>
      <c r="AS17" s="742"/>
      <c r="AT17" s="755"/>
      <c r="AU17" s="334"/>
      <c r="AV17" s="334"/>
      <c r="AW17" s="334"/>
      <c r="AX17" s="334"/>
      <c r="AY17" s="334"/>
      <c r="AZ17" s="334"/>
      <c r="BA17" s="334"/>
      <c r="BB17" s="334"/>
      <c r="BC17" s="334"/>
      <c r="BD17" s="334"/>
      <c r="BE17" s="334"/>
      <c r="BF17" s="334"/>
      <c r="BG17" s="334"/>
      <c r="BH17" s="334"/>
      <c r="BI17" s="334"/>
    </row>
    <row r="18" spans="1:61" ht="15" customHeight="1" x14ac:dyDescent="0.25">
      <c r="A18" s="334"/>
      <c r="B18" s="749"/>
      <c r="C18" s="742"/>
      <c r="D18" s="743"/>
      <c r="E18" s="741"/>
      <c r="F18" s="742"/>
      <c r="G18" s="742"/>
      <c r="H18" s="742"/>
      <c r="I18" s="742"/>
      <c r="J18" s="356" t="s">
        <v>18</v>
      </c>
      <c r="K18" s="357" t="s">
        <v>18</v>
      </c>
      <c r="L18" s="357" t="s">
        <v>18</v>
      </c>
      <c r="M18" s="357" t="s">
        <v>18</v>
      </c>
      <c r="N18" s="357" t="s">
        <v>18</v>
      </c>
      <c r="O18" s="358" t="s">
        <v>18</v>
      </c>
      <c r="P18" s="356" t="s">
        <v>18</v>
      </c>
      <c r="Q18" s="357" t="s">
        <v>18</v>
      </c>
      <c r="R18" s="357" t="s">
        <v>18</v>
      </c>
      <c r="S18" s="357" t="s">
        <v>18</v>
      </c>
      <c r="T18" s="357" t="s">
        <v>18</v>
      </c>
      <c r="U18" s="358" t="s">
        <v>18</v>
      </c>
      <c r="V18" s="341" t="s">
        <v>18</v>
      </c>
      <c r="W18" s="342" t="s">
        <v>18</v>
      </c>
      <c r="X18" s="342" t="s">
        <v>18</v>
      </c>
      <c r="Y18" s="342" t="s">
        <v>18</v>
      </c>
      <c r="Z18" s="342" t="s">
        <v>18</v>
      </c>
      <c r="AA18" s="343" t="s">
        <v>18</v>
      </c>
      <c r="AB18" s="341" t="s">
        <v>18</v>
      </c>
      <c r="AC18" s="342" t="s">
        <v>18</v>
      </c>
      <c r="AD18" s="342" t="s">
        <v>18</v>
      </c>
      <c r="AE18" s="342" t="s">
        <v>18</v>
      </c>
      <c r="AF18" s="342" t="s">
        <v>18</v>
      </c>
      <c r="AG18" s="343" t="s">
        <v>18</v>
      </c>
      <c r="AH18" s="344" t="s">
        <v>18</v>
      </c>
      <c r="AI18" s="345" t="s">
        <v>18</v>
      </c>
      <c r="AJ18" s="345" t="s">
        <v>18</v>
      </c>
      <c r="AK18" s="345" t="s">
        <v>18</v>
      </c>
      <c r="AL18" s="345" t="s">
        <v>18</v>
      </c>
      <c r="AM18" s="346" t="s">
        <v>18</v>
      </c>
      <c r="AN18" s="334"/>
      <c r="AO18" s="754"/>
      <c r="AP18" s="742"/>
      <c r="AQ18" s="742"/>
      <c r="AR18" s="742"/>
      <c r="AS18" s="742"/>
      <c r="AT18" s="755"/>
      <c r="AU18" s="334"/>
      <c r="AV18" s="334"/>
      <c r="AW18" s="334"/>
      <c r="AX18" s="334"/>
      <c r="AY18" s="334"/>
      <c r="AZ18" s="334"/>
      <c r="BA18" s="334"/>
      <c r="BB18" s="334"/>
      <c r="BC18" s="334"/>
      <c r="BD18" s="334"/>
      <c r="BE18" s="334"/>
      <c r="BF18" s="334"/>
      <c r="BG18" s="334"/>
      <c r="BH18" s="334"/>
      <c r="BI18" s="334"/>
    </row>
    <row r="19" spans="1:61" ht="15" customHeight="1" x14ac:dyDescent="0.25">
      <c r="A19" s="334"/>
      <c r="B19" s="749"/>
      <c r="C19" s="742"/>
      <c r="D19" s="743"/>
      <c r="E19" s="741"/>
      <c r="F19" s="742"/>
      <c r="G19" s="742"/>
      <c r="H19" s="742"/>
      <c r="I19" s="742"/>
      <c r="J19" s="356" t="s">
        <v>18</v>
      </c>
      <c r="K19" s="357" t="s">
        <v>18</v>
      </c>
      <c r="L19" s="357" t="s">
        <v>18</v>
      </c>
      <c r="M19" s="357" t="s">
        <v>18</v>
      </c>
      <c r="N19" s="357" t="s">
        <v>18</v>
      </c>
      <c r="O19" s="358" t="s">
        <v>18</v>
      </c>
      <c r="P19" s="356" t="s">
        <v>18</v>
      </c>
      <c r="Q19" s="357" t="s">
        <v>18</v>
      </c>
      <c r="R19" s="357" t="s">
        <v>18</v>
      </c>
      <c r="S19" s="357" t="s">
        <v>18</v>
      </c>
      <c r="T19" s="357" t="s">
        <v>18</v>
      </c>
      <c r="U19" s="358" t="s">
        <v>18</v>
      </c>
      <c r="V19" s="341" t="s">
        <v>18</v>
      </c>
      <c r="W19" s="342" t="s">
        <v>18</v>
      </c>
      <c r="X19" s="342" t="s">
        <v>18</v>
      </c>
      <c r="Y19" s="342" t="s">
        <v>18</v>
      </c>
      <c r="Z19" s="342" t="s">
        <v>18</v>
      </c>
      <c r="AA19" s="343" t="s">
        <v>18</v>
      </c>
      <c r="AB19" s="341" t="s">
        <v>18</v>
      </c>
      <c r="AC19" s="342" t="s">
        <v>18</v>
      </c>
      <c r="AD19" s="342" t="s">
        <v>18</v>
      </c>
      <c r="AE19" s="342" t="s">
        <v>18</v>
      </c>
      <c r="AF19" s="342" t="s">
        <v>18</v>
      </c>
      <c r="AG19" s="343" t="s">
        <v>18</v>
      </c>
      <c r="AH19" s="344" t="s">
        <v>18</v>
      </c>
      <c r="AI19" s="345" t="s">
        <v>18</v>
      </c>
      <c r="AJ19" s="345" t="s">
        <v>18</v>
      </c>
      <c r="AK19" s="345" t="s">
        <v>18</v>
      </c>
      <c r="AL19" s="345" t="s">
        <v>18</v>
      </c>
      <c r="AM19" s="346" t="s">
        <v>18</v>
      </c>
      <c r="AN19" s="334"/>
      <c r="AO19" s="754"/>
      <c r="AP19" s="742"/>
      <c r="AQ19" s="742"/>
      <c r="AR19" s="742"/>
      <c r="AS19" s="742"/>
      <c r="AT19" s="755"/>
      <c r="AU19" s="334"/>
      <c r="AV19" s="334"/>
      <c r="AW19" s="334"/>
      <c r="AX19" s="334"/>
      <c r="AY19" s="334"/>
      <c r="AZ19" s="334"/>
      <c r="BA19" s="334"/>
      <c r="BB19" s="334"/>
      <c r="BC19" s="334"/>
      <c r="BD19" s="334"/>
      <c r="BE19" s="334"/>
      <c r="BF19" s="334"/>
      <c r="BG19" s="334"/>
      <c r="BH19" s="334"/>
      <c r="BI19" s="334"/>
    </row>
    <row r="20" spans="1:61" ht="15" customHeight="1" x14ac:dyDescent="0.25">
      <c r="A20" s="334"/>
      <c r="B20" s="749"/>
      <c r="C20" s="742"/>
      <c r="D20" s="743"/>
      <c r="E20" s="741"/>
      <c r="F20" s="742"/>
      <c r="G20" s="742"/>
      <c r="H20" s="742"/>
      <c r="I20" s="742"/>
      <c r="J20" s="356" t="s">
        <v>18</v>
      </c>
      <c r="K20" s="357" t="s">
        <v>18</v>
      </c>
      <c r="L20" s="357" t="s">
        <v>18</v>
      </c>
      <c r="M20" s="357" t="s">
        <v>18</v>
      </c>
      <c r="N20" s="357" t="s">
        <v>18</v>
      </c>
      <c r="O20" s="358" t="s">
        <v>18</v>
      </c>
      <c r="P20" s="356" t="s">
        <v>18</v>
      </c>
      <c r="Q20" s="357" t="s">
        <v>18</v>
      </c>
      <c r="R20" s="357" t="s">
        <v>18</v>
      </c>
      <c r="S20" s="357" t="s">
        <v>18</v>
      </c>
      <c r="T20" s="357" t="s">
        <v>18</v>
      </c>
      <c r="U20" s="358" t="s">
        <v>18</v>
      </c>
      <c r="V20" s="341" t="s">
        <v>18</v>
      </c>
      <c r="W20" s="342" t="s">
        <v>18</v>
      </c>
      <c r="X20" s="342" t="s">
        <v>18</v>
      </c>
      <c r="Y20" s="342" t="s">
        <v>18</v>
      </c>
      <c r="Z20" s="342" t="s">
        <v>18</v>
      </c>
      <c r="AA20" s="343" t="s">
        <v>18</v>
      </c>
      <c r="AB20" s="341" t="s">
        <v>18</v>
      </c>
      <c r="AC20" s="342" t="s">
        <v>18</v>
      </c>
      <c r="AD20" s="342" t="s">
        <v>18</v>
      </c>
      <c r="AE20" s="342" t="s">
        <v>18</v>
      </c>
      <c r="AF20" s="342" t="s">
        <v>18</v>
      </c>
      <c r="AG20" s="343" t="s">
        <v>18</v>
      </c>
      <c r="AH20" s="344" t="s">
        <v>18</v>
      </c>
      <c r="AI20" s="345" t="s">
        <v>18</v>
      </c>
      <c r="AJ20" s="345" t="s">
        <v>18</v>
      </c>
      <c r="AK20" s="345" t="s">
        <v>18</v>
      </c>
      <c r="AL20" s="345" t="s">
        <v>18</v>
      </c>
      <c r="AM20" s="346" t="s">
        <v>18</v>
      </c>
      <c r="AN20" s="334"/>
      <c r="AO20" s="754"/>
      <c r="AP20" s="742"/>
      <c r="AQ20" s="742"/>
      <c r="AR20" s="742"/>
      <c r="AS20" s="742"/>
      <c r="AT20" s="755"/>
      <c r="AU20" s="334"/>
      <c r="AV20" s="334"/>
      <c r="AW20" s="334"/>
      <c r="AX20" s="334"/>
      <c r="AY20" s="334"/>
      <c r="AZ20" s="334"/>
      <c r="BA20" s="334"/>
      <c r="BB20" s="334"/>
      <c r="BC20" s="334"/>
      <c r="BD20" s="334"/>
      <c r="BE20" s="334"/>
      <c r="BF20" s="334"/>
      <c r="BG20" s="334"/>
      <c r="BH20" s="334"/>
      <c r="BI20" s="334"/>
    </row>
    <row r="21" spans="1:61" ht="15" customHeight="1" x14ac:dyDescent="0.25">
      <c r="A21" s="334"/>
      <c r="B21" s="749"/>
      <c r="C21" s="742"/>
      <c r="D21" s="743"/>
      <c r="E21" s="741"/>
      <c r="F21" s="742"/>
      <c r="G21" s="742"/>
      <c r="H21" s="742"/>
      <c r="I21" s="742"/>
      <c r="J21" s="356" t="s">
        <v>18</v>
      </c>
      <c r="K21" s="357" t="s">
        <v>18</v>
      </c>
      <c r="L21" s="357" t="s">
        <v>18</v>
      </c>
      <c r="M21" s="357" t="s">
        <v>18</v>
      </c>
      <c r="N21" s="357" t="s">
        <v>18</v>
      </c>
      <c r="O21" s="358" t="s">
        <v>18</v>
      </c>
      <c r="P21" s="356" t="s">
        <v>18</v>
      </c>
      <c r="Q21" s="357" t="s">
        <v>18</v>
      </c>
      <c r="R21" s="357" t="s">
        <v>18</v>
      </c>
      <c r="S21" s="357" t="s">
        <v>18</v>
      </c>
      <c r="T21" s="357" t="s">
        <v>18</v>
      </c>
      <c r="U21" s="358" t="s">
        <v>18</v>
      </c>
      <c r="V21" s="341" t="s">
        <v>18</v>
      </c>
      <c r="W21" s="342" t="s">
        <v>18</v>
      </c>
      <c r="X21" s="342" t="s">
        <v>18</v>
      </c>
      <c r="Y21" s="342" t="s">
        <v>18</v>
      </c>
      <c r="Z21" s="342" t="s">
        <v>18</v>
      </c>
      <c r="AA21" s="343" t="s">
        <v>18</v>
      </c>
      <c r="AB21" s="341" t="s">
        <v>18</v>
      </c>
      <c r="AC21" s="342" t="s">
        <v>18</v>
      </c>
      <c r="AD21" s="342" t="s">
        <v>18</v>
      </c>
      <c r="AE21" s="342" t="s">
        <v>18</v>
      </c>
      <c r="AF21" s="342" t="s">
        <v>18</v>
      </c>
      <c r="AG21" s="343" t="s">
        <v>18</v>
      </c>
      <c r="AH21" s="344" t="s">
        <v>18</v>
      </c>
      <c r="AI21" s="345" t="s">
        <v>18</v>
      </c>
      <c r="AJ21" s="345" t="s">
        <v>18</v>
      </c>
      <c r="AK21" s="345" t="s">
        <v>18</v>
      </c>
      <c r="AL21" s="345" t="s">
        <v>18</v>
      </c>
      <c r="AM21" s="346" t="s">
        <v>18</v>
      </c>
      <c r="AN21" s="334"/>
      <c r="AO21" s="754"/>
      <c r="AP21" s="742"/>
      <c r="AQ21" s="742"/>
      <c r="AR21" s="742"/>
      <c r="AS21" s="742"/>
      <c r="AT21" s="755"/>
      <c r="AU21" s="334"/>
      <c r="AV21" s="334"/>
      <c r="AW21" s="334"/>
      <c r="AX21" s="334"/>
      <c r="AY21" s="334"/>
      <c r="AZ21" s="334"/>
      <c r="BA21" s="334"/>
      <c r="BB21" s="334"/>
      <c r="BC21" s="334"/>
      <c r="BD21" s="334"/>
      <c r="BE21" s="334"/>
      <c r="BF21" s="334"/>
      <c r="BG21" s="334"/>
      <c r="BH21" s="334"/>
      <c r="BI21" s="334"/>
    </row>
    <row r="22" spans="1:61" ht="15" customHeight="1" x14ac:dyDescent="0.25">
      <c r="A22" s="334"/>
      <c r="B22" s="749"/>
      <c r="C22" s="742"/>
      <c r="D22" s="743"/>
      <c r="E22" s="741"/>
      <c r="F22" s="742"/>
      <c r="G22" s="742"/>
      <c r="H22" s="742"/>
      <c r="I22" s="742"/>
      <c r="J22" s="356" t="s">
        <v>18</v>
      </c>
      <c r="K22" s="357" t="s">
        <v>18</v>
      </c>
      <c r="L22" s="357" t="s">
        <v>18</v>
      </c>
      <c r="M22" s="357" t="s">
        <v>18</v>
      </c>
      <c r="N22" s="357" t="s">
        <v>18</v>
      </c>
      <c r="O22" s="358" t="s">
        <v>18</v>
      </c>
      <c r="P22" s="356" t="s">
        <v>18</v>
      </c>
      <c r="Q22" s="357" t="s">
        <v>18</v>
      </c>
      <c r="R22" s="357" t="s">
        <v>18</v>
      </c>
      <c r="S22" s="357" t="s">
        <v>18</v>
      </c>
      <c r="T22" s="357" t="s">
        <v>18</v>
      </c>
      <c r="U22" s="358" t="s">
        <v>18</v>
      </c>
      <c r="V22" s="341" t="s">
        <v>18</v>
      </c>
      <c r="W22" s="342" t="s">
        <v>18</v>
      </c>
      <c r="X22" s="342" t="s">
        <v>18</v>
      </c>
      <c r="Y22" s="342" t="s">
        <v>18</v>
      </c>
      <c r="Z22" s="342" t="s">
        <v>18</v>
      </c>
      <c r="AA22" s="343" t="s">
        <v>18</v>
      </c>
      <c r="AB22" s="341" t="s">
        <v>18</v>
      </c>
      <c r="AC22" s="342" t="s">
        <v>18</v>
      </c>
      <c r="AD22" s="342" t="s">
        <v>18</v>
      </c>
      <c r="AE22" s="342" t="s">
        <v>18</v>
      </c>
      <c r="AF22" s="342" t="s">
        <v>18</v>
      </c>
      <c r="AG22" s="343" t="s">
        <v>18</v>
      </c>
      <c r="AH22" s="344" t="s">
        <v>18</v>
      </c>
      <c r="AI22" s="345" t="s">
        <v>18</v>
      </c>
      <c r="AJ22" s="345" t="s">
        <v>18</v>
      </c>
      <c r="AK22" s="345" t="s">
        <v>18</v>
      </c>
      <c r="AL22" s="345" t="s">
        <v>18</v>
      </c>
      <c r="AM22" s="346" t="s">
        <v>18</v>
      </c>
      <c r="AN22" s="334"/>
      <c r="AO22" s="754"/>
      <c r="AP22" s="742"/>
      <c r="AQ22" s="742"/>
      <c r="AR22" s="742"/>
      <c r="AS22" s="742"/>
      <c r="AT22" s="755"/>
      <c r="AU22" s="334"/>
      <c r="AV22" s="334"/>
      <c r="AW22" s="334"/>
      <c r="AX22" s="334"/>
      <c r="AY22" s="334"/>
      <c r="AZ22" s="334"/>
      <c r="BA22" s="334"/>
      <c r="BB22" s="334"/>
      <c r="BC22" s="334"/>
      <c r="BD22" s="334"/>
      <c r="BE22" s="334"/>
      <c r="BF22" s="334"/>
      <c r="BG22" s="334"/>
      <c r="BH22" s="334"/>
      <c r="BI22" s="334"/>
    </row>
    <row r="23" spans="1:61" ht="15" customHeight="1" x14ac:dyDescent="0.25">
      <c r="A23" s="334"/>
      <c r="B23" s="749"/>
      <c r="C23" s="742"/>
      <c r="D23" s="743"/>
      <c r="E23" s="741"/>
      <c r="F23" s="742"/>
      <c r="G23" s="742"/>
      <c r="H23" s="742"/>
      <c r="I23" s="742"/>
      <c r="J23" s="356" t="s">
        <v>18</v>
      </c>
      <c r="K23" s="357" t="s">
        <v>18</v>
      </c>
      <c r="L23" s="357" t="s">
        <v>18</v>
      </c>
      <c r="M23" s="357" t="s">
        <v>18</v>
      </c>
      <c r="N23" s="357" t="s">
        <v>18</v>
      </c>
      <c r="O23" s="358" t="s">
        <v>18</v>
      </c>
      <c r="P23" s="356" t="s">
        <v>18</v>
      </c>
      <c r="Q23" s="357" t="s">
        <v>18</v>
      </c>
      <c r="R23" s="357" t="s">
        <v>18</v>
      </c>
      <c r="S23" s="357" t="s">
        <v>18</v>
      </c>
      <c r="T23" s="357" t="s">
        <v>18</v>
      </c>
      <c r="U23" s="358" t="s">
        <v>18</v>
      </c>
      <c r="V23" s="341" t="s">
        <v>18</v>
      </c>
      <c r="W23" s="342" t="s">
        <v>18</v>
      </c>
      <c r="X23" s="342" t="s">
        <v>18</v>
      </c>
      <c r="Y23" s="342" t="s">
        <v>18</v>
      </c>
      <c r="Z23" s="342" t="s">
        <v>18</v>
      </c>
      <c r="AA23" s="343" t="s">
        <v>18</v>
      </c>
      <c r="AB23" s="341" t="s">
        <v>18</v>
      </c>
      <c r="AC23" s="342" t="s">
        <v>18</v>
      </c>
      <c r="AD23" s="342" t="s">
        <v>18</v>
      </c>
      <c r="AE23" s="342" t="s">
        <v>18</v>
      </c>
      <c r="AF23" s="342" t="s">
        <v>18</v>
      </c>
      <c r="AG23" s="343" t="s">
        <v>18</v>
      </c>
      <c r="AH23" s="344" t="s">
        <v>18</v>
      </c>
      <c r="AI23" s="345" t="s">
        <v>18</v>
      </c>
      <c r="AJ23" s="345" t="s">
        <v>18</v>
      </c>
      <c r="AK23" s="345" t="s">
        <v>18</v>
      </c>
      <c r="AL23" s="345" t="s">
        <v>18</v>
      </c>
      <c r="AM23" s="346" t="s">
        <v>18</v>
      </c>
      <c r="AN23" s="334"/>
      <c r="AO23" s="754"/>
      <c r="AP23" s="742"/>
      <c r="AQ23" s="742"/>
      <c r="AR23" s="742"/>
      <c r="AS23" s="742"/>
      <c r="AT23" s="755"/>
      <c r="AU23" s="334"/>
      <c r="AV23" s="334"/>
      <c r="AW23" s="334"/>
      <c r="AX23" s="334"/>
      <c r="AY23" s="334"/>
      <c r="AZ23" s="334"/>
      <c r="BA23" s="334"/>
      <c r="BB23" s="334"/>
      <c r="BC23" s="334"/>
      <c r="BD23" s="334"/>
      <c r="BE23" s="334"/>
      <c r="BF23" s="334"/>
      <c r="BG23" s="334"/>
      <c r="BH23" s="334"/>
      <c r="BI23" s="334"/>
    </row>
    <row r="24" spans="1:61" ht="15" customHeight="1" x14ac:dyDescent="0.25">
      <c r="A24" s="334"/>
      <c r="B24" s="749"/>
      <c r="C24" s="742"/>
      <c r="D24" s="743"/>
      <c r="E24" s="741"/>
      <c r="F24" s="742"/>
      <c r="G24" s="742"/>
      <c r="H24" s="742"/>
      <c r="I24" s="742"/>
      <c r="J24" s="356" t="s">
        <v>18</v>
      </c>
      <c r="K24" s="357" t="s">
        <v>18</v>
      </c>
      <c r="L24" s="357" t="s">
        <v>18</v>
      </c>
      <c r="M24" s="357" t="s">
        <v>18</v>
      </c>
      <c r="N24" s="357" t="s">
        <v>18</v>
      </c>
      <c r="O24" s="358" t="s">
        <v>18</v>
      </c>
      <c r="P24" s="356" t="s">
        <v>18</v>
      </c>
      <c r="Q24" s="357" t="s">
        <v>18</v>
      </c>
      <c r="R24" s="357" t="s">
        <v>18</v>
      </c>
      <c r="S24" s="357" t="s">
        <v>18</v>
      </c>
      <c r="T24" s="357" t="s">
        <v>18</v>
      </c>
      <c r="U24" s="358" t="s">
        <v>18</v>
      </c>
      <c r="V24" s="341" t="s">
        <v>18</v>
      </c>
      <c r="W24" s="342" t="s">
        <v>18</v>
      </c>
      <c r="X24" s="342" t="s">
        <v>18</v>
      </c>
      <c r="Y24" s="342" t="s">
        <v>18</v>
      </c>
      <c r="Z24" s="342" t="s">
        <v>18</v>
      </c>
      <c r="AA24" s="343" t="s">
        <v>18</v>
      </c>
      <c r="AB24" s="341" t="s">
        <v>18</v>
      </c>
      <c r="AC24" s="342" t="s">
        <v>18</v>
      </c>
      <c r="AD24" s="342" t="s">
        <v>18</v>
      </c>
      <c r="AE24" s="342" t="s">
        <v>18</v>
      </c>
      <c r="AF24" s="342" t="s">
        <v>18</v>
      </c>
      <c r="AG24" s="343" t="s">
        <v>18</v>
      </c>
      <c r="AH24" s="344" t="s">
        <v>18</v>
      </c>
      <c r="AI24" s="345" t="s">
        <v>18</v>
      </c>
      <c r="AJ24" s="345" t="s">
        <v>18</v>
      </c>
      <c r="AK24" s="345" t="s">
        <v>18</v>
      </c>
      <c r="AL24" s="345" t="s">
        <v>18</v>
      </c>
      <c r="AM24" s="346" t="s">
        <v>18</v>
      </c>
      <c r="AN24" s="334"/>
      <c r="AO24" s="754"/>
      <c r="AP24" s="742"/>
      <c r="AQ24" s="742"/>
      <c r="AR24" s="742"/>
      <c r="AS24" s="742"/>
      <c r="AT24" s="755"/>
      <c r="AU24" s="334"/>
      <c r="AV24" s="334"/>
      <c r="AW24" s="334"/>
      <c r="AX24" s="334"/>
      <c r="AY24" s="334"/>
      <c r="AZ24" s="334"/>
      <c r="BA24" s="334"/>
      <c r="BB24" s="334"/>
      <c r="BC24" s="334"/>
      <c r="BD24" s="334"/>
      <c r="BE24" s="334"/>
      <c r="BF24" s="334"/>
      <c r="BG24" s="334"/>
      <c r="BH24" s="334"/>
      <c r="BI24" s="334"/>
    </row>
    <row r="25" spans="1:61" ht="15.75" customHeight="1" thickBot="1" x14ac:dyDescent="0.3">
      <c r="A25" s="334"/>
      <c r="B25" s="749"/>
      <c r="C25" s="742"/>
      <c r="D25" s="743"/>
      <c r="E25" s="744"/>
      <c r="F25" s="745"/>
      <c r="G25" s="745"/>
      <c r="H25" s="745"/>
      <c r="I25" s="745"/>
      <c r="J25" s="359" t="s">
        <v>18</v>
      </c>
      <c r="K25" s="360" t="s">
        <v>18</v>
      </c>
      <c r="L25" s="360" t="s">
        <v>18</v>
      </c>
      <c r="M25" s="360" t="s">
        <v>18</v>
      </c>
      <c r="N25" s="360" t="s">
        <v>18</v>
      </c>
      <c r="O25" s="361" t="s">
        <v>18</v>
      </c>
      <c r="P25" s="359" t="s">
        <v>18</v>
      </c>
      <c r="Q25" s="360" t="s">
        <v>18</v>
      </c>
      <c r="R25" s="360" t="s">
        <v>18</v>
      </c>
      <c r="S25" s="360" t="s">
        <v>18</v>
      </c>
      <c r="T25" s="360" t="s">
        <v>18</v>
      </c>
      <c r="U25" s="361" t="s">
        <v>18</v>
      </c>
      <c r="V25" s="347" t="s">
        <v>18</v>
      </c>
      <c r="W25" s="348" t="s">
        <v>18</v>
      </c>
      <c r="X25" s="348" t="s">
        <v>18</v>
      </c>
      <c r="Y25" s="348" t="s">
        <v>18</v>
      </c>
      <c r="Z25" s="348" t="s">
        <v>18</v>
      </c>
      <c r="AA25" s="349" t="s">
        <v>18</v>
      </c>
      <c r="AB25" s="347" t="s">
        <v>18</v>
      </c>
      <c r="AC25" s="348" t="s">
        <v>18</v>
      </c>
      <c r="AD25" s="348" t="s">
        <v>18</v>
      </c>
      <c r="AE25" s="348" t="s">
        <v>18</v>
      </c>
      <c r="AF25" s="348" t="s">
        <v>18</v>
      </c>
      <c r="AG25" s="349" t="s">
        <v>18</v>
      </c>
      <c r="AH25" s="350" t="s">
        <v>18</v>
      </c>
      <c r="AI25" s="351" t="s">
        <v>18</v>
      </c>
      <c r="AJ25" s="351" t="s">
        <v>18</v>
      </c>
      <c r="AK25" s="351" t="s">
        <v>18</v>
      </c>
      <c r="AL25" s="351" t="s">
        <v>18</v>
      </c>
      <c r="AM25" s="352" t="s">
        <v>18</v>
      </c>
      <c r="AN25" s="334"/>
      <c r="AO25" s="756"/>
      <c r="AP25" s="757"/>
      <c r="AQ25" s="757"/>
      <c r="AR25" s="757"/>
      <c r="AS25" s="757"/>
      <c r="AT25" s="758"/>
      <c r="AU25" s="334"/>
      <c r="AV25" s="334"/>
      <c r="AW25" s="334"/>
      <c r="AX25" s="334"/>
      <c r="AY25" s="334"/>
      <c r="AZ25" s="334"/>
      <c r="BA25" s="334"/>
      <c r="BB25" s="334"/>
      <c r="BC25" s="334"/>
      <c r="BD25" s="334"/>
      <c r="BE25" s="334"/>
      <c r="BF25" s="334"/>
      <c r="BG25" s="334"/>
      <c r="BH25" s="334"/>
      <c r="BI25" s="334"/>
    </row>
    <row r="26" spans="1:61" ht="15" customHeight="1" x14ac:dyDescent="0.25">
      <c r="A26" s="334"/>
      <c r="B26" s="749"/>
      <c r="C26" s="742"/>
      <c r="D26" s="743"/>
      <c r="E26" s="738" t="s">
        <v>7</v>
      </c>
      <c r="F26" s="739"/>
      <c r="G26" s="739"/>
      <c r="H26" s="739"/>
      <c r="I26" s="740"/>
      <c r="J26" s="353" t="s">
        <v>18</v>
      </c>
      <c r="K26" s="354" t="s">
        <v>18</v>
      </c>
      <c r="L26" s="354" t="s">
        <v>18</v>
      </c>
      <c r="M26" s="354" t="s">
        <v>18</v>
      </c>
      <c r="N26" s="354" t="s">
        <v>18</v>
      </c>
      <c r="O26" s="355" t="s">
        <v>18</v>
      </c>
      <c r="P26" s="353" t="s">
        <v>18</v>
      </c>
      <c r="Q26" s="354" t="s">
        <v>18</v>
      </c>
      <c r="R26" s="354" t="s">
        <v>18</v>
      </c>
      <c r="S26" s="354" t="s">
        <v>18</v>
      </c>
      <c r="T26" s="354" t="s">
        <v>18</v>
      </c>
      <c r="U26" s="355" t="s">
        <v>18</v>
      </c>
      <c r="V26" s="353" t="s">
        <v>18</v>
      </c>
      <c r="W26" s="354" t="s">
        <v>18</v>
      </c>
      <c r="X26" s="354" t="s">
        <v>18</v>
      </c>
      <c r="Y26" s="354" t="s">
        <v>18</v>
      </c>
      <c r="Z26" s="354" t="s">
        <v>18</v>
      </c>
      <c r="AA26" s="355" t="s">
        <v>18</v>
      </c>
      <c r="AB26" s="335" t="s">
        <v>18</v>
      </c>
      <c r="AC26" s="336" t="s">
        <v>18</v>
      </c>
      <c r="AD26" s="336" t="s">
        <v>18</v>
      </c>
      <c r="AE26" s="336" t="s">
        <v>18</v>
      </c>
      <c r="AF26" s="336" t="s">
        <v>18</v>
      </c>
      <c r="AG26" s="337" t="s">
        <v>18</v>
      </c>
      <c r="AH26" s="338" t="s">
        <v>18</v>
      </c>
      <c r="AI26" s="339" t="s">
        <v>18</v>
      </c>
      <c r="AJ26" s="339" t="s">
        <v>18</v>
      </c>
      <c r="AK26" s="339" t="s">
        <v>18</v>
      </c>
      <c r="AL26" s="339" t="s">
        <v>18</v>
      </c>
      <c r="AM26" s="340" t="s">
        <v>18</v>
      </c>
      <c r="AN26" s="334"/>
      <c r="AO26" s="760" t="s">
        <v>8</v>
      </c>
      <c r="AP26" s="752"/>
      <c r="AQ26" s="752"/>
      <c r="AR26" s="752"/>
      <c r="AS26" s="752"/>
      <c r="AT26" s="753"/>
      <c r="AU26" s="334"/>
      <c r="AV26" s="334"/>
      <c r="AW26" s="334"/>
      <c r="AX26" s="334"/>
      <c r="AY26" s="334"/>
      <c r="AZ26" s="334"/>
      <c r="BA26" s="334"/>
      <c r="BB26" s="334"/>
      <c r="BC26" s="334"/>
      <c r="BD26" s="334"/>
      <c r="BE26" s="334"/>
      <c r="BF26" s="334"/>
      <c r="BG26" s="334"/>
      <c r="BH26" s="334"/>
      <c r="BI26" s="334"/>
    </row>
    <row r="27" spans="1:61" ht="15" customHeight="1" x14ac:dyDescent="0.25">
      <c r="A27" s="334"/>
      <c r="B27" s="749"/>
      <c r="C27" s="742"/>
      <c r="D27" s="743"/>
      <c r="E27" s="741"/>
      <c r="F27" s="742"/>
      <c r="G27" s="742"/>
      <c r="H27" s="742"/>
      <c r="I27" s="743"/>
      <c r="J27" s="356" t="s">
        <v>18</v>
      </c>
      <c r="K27" s="357" t="s">
        <v>18</v>
      </c>
      <c r="L27" s="357" t="s">
        <v>18</v>
      </c>
      <c r="M27" s="357" t="s">
        <v>18</v>
      </c>
      <c r="N27" s="357" t="s">
        <v>18</v>
      </c>
      <c r="O27" s="358" t="s">
        <v>18</v>
      </c>
      <c r="P27" s="356" t="s">
        <v>18</v>
      </c>
      <c r="Q27" s="357" t="s">
        <v>18</v>
      </c>
      <c r="R27" s="357" t="s">
        <v>18</v>
      </c>
      <c r="S27" s="357" t="s">
        <v>18</v>
      </c>
      <c r="T27" s="357" t="s">
        <v>18</v>
      </c>
      <c r="U27" s="358" t="s">
        <v>18</v>
      </c>
      <c r="V27" s="356" t="s">
        <v>18</v>
      </c>
      <c r="W27" s="357" t="s">
        <v>18</v>
      </c>
      <c r="X27" s="357" t="s">
        <v>18</v>
      </c>
      <c r="Y27" s="357" t="s">
        <v>18</v>
      </c>
      <c r="Z27" s="357" t="s">
        <v>18</v>
      </c>
      <c r="AA27" s="358" t="s">
        <v>18</v>
      </c>
      <c r="AB27" s="341" t="s">
        <v>18</v>
      </c>
      <c r="AC27" s="342" t="s">
        <v>18</v>
      </c>
      <c r="AD27" s="342" t="s">
        <v>18</v>
      </c>
      <c r="AE27" s="342" t="s">
        <v>18</v>
      </c>
      <c r="AF27" s="342" t="s">
        <v>18</v>
      </c>
      <c r="AG27" s="343" t="s">
        <v>18</v>
      </c>
      <c r="AH27" s="344" t="s">
        <v>18</v>
      </c>
      <c r="AI27" s="345" t="s">
        <v>18</v>
      </c>
      <c r="AJ27" s="345" t="s">
        <v>18</v>
      </c>
      <c r="AK27" s="345" t="s">
        <v>18</v>
      </c>
      <c r="AL27" s="345" t="s">
        <v>18</v>
      </c>
      <c r="AM27" s="346" t="s">
        <v>18</v>
      </c>
      <c r="AN27" s="334"/>
      <c r="AO27" s="754"/>
      <c r="AP27" s="742"/>
      <c r="AQ27" s="742"/>
      <c r="AR27" s="742"/>
      <c r="AS27" s="742"/>
      <c r="AT27" s="755"/>
      <c r="AU27" s="334"/>
      <c r="AV27" s="334"/>
      <c r="AW27" s="334"/>
      <c r="AX27" s="334"/>
      <c r="AY27" s="334"/>
      <c r="AZ27" s="334"/>
      <c r="BA27" s="334"/>
      <c r="BB27" s="334"/>
      <c r="BC27" s="334"/>
      <c r="BD27" s="334"/>
      <c r="BE27" s="334"/>
      <c r="BF27" s="334"/>
      <c r="BG27" s="334"/>
      <c r="BH27" s="334"/>
      <c r="BI27" s="334"/>
    </row>
    <row r="28" spans="1:61" ht="15" customHeight="1" x14ac:dyDescent="0.25">
      <c r="A28" s="334"/>
      <c r="B28" s="749"/>
      <c r="C28" s="742"/>
      <c r="D28" s="743"/>
      <c r="E28" s="741"/>
      <c r="F28" s="742"/>
      <c r="G28" s="742"/>
      <c r="H28" s="742"/>
      <c r="I28" s="743"/>
      <c r="J28" s="356" t="s">
        <v>18</v>
      </c>
      <c r="K28" s="357" t="s">
        <v>18</v>
      </c>
      <c r="L28" s="357" t="s">
        <v>18</v>
      </c>
      <c r="M28" s="357" t="s">
        <v>18</v>
      </c>
      <c r="N28" s="357" t="s">
        <v>18</v>
      </c>
      <c r="O28" s="358" t="s">
        <v>18</v>
      </c>
      <c r="P28" s="356" t="s">
        <v>18</v>
      </c>
      <c r="Q28" s="357" t="s">
        <v>18</v>
      </c>
      <c r="R28" s="357" t="s">
        <v>18</v>
      </c>
      <c r="S28" s="357" t="s">
        <v>18</v>
      </c>
      <c r="T28" s="357" t="s">
        <v>18</v>
      </c>
      <c r="U28" s="358" t="s">
        <v>18</v>
      </c>
      <c r="V28" s="356" t="s">
        <v>18</v>
      </c>
      <c r="W28" s="357" t="s">
        <v>18</v>
      </c>
      <c r="X28" s="357" t="s">
        <v>18</v>
      </c>
      <c r="Y28" s="357" t="s">
        <v>18</v>
      </c>
      <c r="Z28" s="357" t="s">
        <v>18</v>
      </c>
      <c r="AA28" s="358" t="s">
        <v>18</v>
      </c>
      <c r="AB28" s="341" t="s">
        <v>18</v>
      </c>
      <c r="AC28" s="342" t="s">
        <v>18</v>
      </c>
      <c r="AD28" s="342" t="s">
        <v>18</v>
      </c>
      <c r="AE28" s="342" t="s">
        <v>18</v>
      </c>
      <c r="AF28" s="342" t="s">
        <v>18</v>
      </c>
      <c r="AG28" s="343" t="s">
        <v>18</v>
      </c>
      <c r="AH28" s="344" t="s">
        <v>18</v>
      </c>
      <c r="AI28" s="345" t="s">
        <v>18</v>
      </c>
      <c r="AJ28" s="345" t="s">
        <v>18</v>
      </c>
      <c r="AK28" s="345" t="s">
        <v>18</v>
      </c>
      <c r="AL28" s="345" t="s">
        <v>18</v>
      </c>
      <c r="AM28" s="346" t="s">
        <v>18</v>
      </c>
      <c r="AN28" s="334"/>
      <c r="AO28" s="754"/>
      <c r="AP28" s="742"/>
      <c r="AQ28" s="742"/>
      <c r="AR28" s="742"/>
      <c r="AS28" s="742"/>
      <c r="AT28" s="755"/>
      <c r="AU28" s="334"/>
      <c r="AV28" s="334"/>
      <c r="AW28" s="334"/>
      <c r="AX28" s="334"/>
      <c r="AY28" s="334"/>
      <c r="AZ28" s="334"/>
      <c r="BA28" s="334"/>
      <c r="BB28" s="334"/>
      <c r="BC28" s="334"/>
      <c r="BD28" s="334"/>
      <c r="BE28" s="334"/>
      <c r="BF28" s="334"/>
      <c r="BG28" s="334"/>
      <c r="BH28" s="334"/>
      <c r="BI28" s="334"/>
    </row>
    <row r="29" spans="1:61" ht="15" customHeight="1" x14ac:dyDescent="0.25">
      <c r="A29" s="334"/>
      <c r="B29" s="749"/>
      <c r="C29" s="742"/>
      <c r="D29" s="743"/>
      <c r="E29" s="741"/>
      <c r="F29" s="742"/>
      <c r="G29" s="742"/>
      <c r="H29" s="742"/>
      <c r="I29" s="743"/>
      <c r="J29" s="356" t="s">
        <v>18</v>
      </c>
      <c r="K29" s="357" t="s">
        <v>18</v>
      </c>
      <c r="L29" s="357" t="s">
        <v>18</v>
      </c>
      <c r="M29" s="357" t="s">
        <v>18</v>
      </c>
      <c r="N29" s="357" t="s">
        <v>18</v>
      </c>
      <c r="O29" s="358" t="s">
        <v>18</v>
      </c>
      <c r="P29" s="356" t="s">
        <v>18</v>
      </c>
      <c r="Q29" s="357" t="s">
        <v>18</v>
      </c>
      <c r="R29" s="357" t="s">
        <v>18</v>
      </c>
      <c r="S29" s="357" t="s">
        <v>18</v>
      </c>
      <c r="T29" s="357" t="s">
        <v>18</v>
      </c>
      <c r="U29" s="358" t="s">
        <v>18</v>
      </c>
      <c r="V29" s="356" t="s">
        <v>18</v>
      </c>
      <c r="W29" s="357" t="s">
        <v>18</v>
      </c>
      <c r="X29" s="357" t="s">
        <v>18</v>
      </c>
      <c r="Y29" s="357" t="s">
        <v>18</v>
      </c>
      <c r="Z29" s="357" t="s">
        <v>18</v>
      </c>
      <c r="AA29" s="358" t="s">
        <v>18</v>
      </c>
      <c r="AB29" s="341" t="s">
        <v>18</v>
      </c>
      <c r="AC29" s="342" t="s">
        <v>18</v>
      </c>
      <c r="AD29" s="342" t="s">
        <v>18</v>
      </c>
      <c r="AE29" s="342" t="s">
        <v>18</v>
      </c>
      <c r="AF29" s="342" t="s">
        <v>18</v>
      </c>
      <c r="AG29" s="343" t="s">
        <v>18</v>
      </c>
      <c r="AH29" s="344" t="s">
        <v>18</v>
      </c>
      <c r="AI29" s="345" t="s">
        <v>18</v>
      </c>
      <c r="AJ29" s="345" t="s">
        <v>18</v>
      </c>
      <c r="AK29" s="345" t="s">
        <v>18</v>
      </c>
      <c r="AL29" s="345" t="s">
        <v>18</v>
      </c>
      <c r="AM29" s="346" t="s">
        <v>18</v>
      </c>
      <c r="AN29" s="334"/>
      <c r="AO29" s="754"/>
      <c r="AP29" s="742"/>
      <c r="AQ29" s="742"/>
      <c r="AR29" s="742"/>
      <c r="AS29" s="742"/>
      <c r="AT29" s="755"/>
      <c r="AU29" s="334"/>
      <c r="AV29" s="334"/>
      <c r="AW29" s="334"/>
      <c r="AX29" s="334"/>
      <c r="AY29" s="334"/>
      <c r="AZ29" s="334"/>
      <c r="BA29" s="334"/>
      <c r="BB29" s="334"/>
      <c r="BC29" s="334"/>
      <c r="BD29" s="334"/>
      <c r="BE29" s="334"/>
      <c r="BF29" s="334"/>
      <c r="BG29" s="334"/>
      <c r="BH29" s="334"/>
      <c r="BI29" s="334"/>
    </row>
    <row r="30" spans="1:61" ht="15" customHeight="1" x14ac:dyDescent="0.25">
      <c r="A30" s="334"/>
      <c r="B30" s="749"/>
      <c r="C30" s="742"/>
      <c r="D30" s="743"/>
      <c r="E30" s="741"/>
      <c r="F30" s="742"/>
      <c r="G30" s="742"/>
      <c r="H30" s="742"/>
      <c r="I30" s="743"/>
      <c r="J30" s="356" t="s">
        <v>18</v>
      </c>
      <c r="K30" s="357" t="s">
        <v>18</v>
      </c>
      <c r="L30" s="357" t="s">
        <v>18</v>
      </c>
      <c r="M30" s="357" t="s">
        <v>18</v>
      </c>
      <c r="N30" s="357" t="s">
        <v>18</v>
      </c>
      <c r="O30" s="358" t="s">
        <v>18</v>
      </c>
      <c r="P30" s="356" t="s">
        <v>18</v>
      </c>
      <c r="Q30" s="357" t="s">
        <v>18</v>
      </c>
      <c r="R30" s="357" t="s">
        <v>18</v>
      </c>
      <c r="S30" s="357" t="s">
        <v>18</v>
      </c>
      <c r="T30" s="357" t="s">
        <v>18</v>
      </c>
      <c r="U30" s="358" t="s">
        <v>18</v>
      </c>
      <c r="V30" s="356" t="s">
        <v>18</v>
      </c>
      <c r="W30" s="357" t="s">
        <v>18</v>
      </c>
      <c r="X30" s="357" t="s">
        <v>18</v>
      </c>
      <c r="Y30" s="357" t="s">
        <v>18</v>
      </c>
      <c r="Z30" s="357" t="s">
        <v>18</v>
      </c>
      <c r="AA30" s="358" t="s">
        <v>18</v>
      </c>
      <c r="AB30" s="341" t="s">
        <v>18</v>
      </c>
      <c r="AC30" s="342" t="s">
        <v>18</v>
      </c>
      <c r="AD30" s="342" t="s">
        <v>18</v>
      </c>
      <c r="AE30" s="342" t="s">
        <v>18</v>
      </c>
      <c r="AF30" s="342" t="s">
        <v>18</v>
      </c>
      <c r="AG30" s="343" t="s">
        <v>18</v>
      </c>
      <c r="AH30" s="344" t="s">
        <v>18</v>
      </c>
      <c r="AI30" s="345" t="s">
        <v>18</v>
      </c>
      <c r="AJ30" s="345" t="s">
        <v>18</v>
      </c>
      <c r="AK30" s="345" t="s">
        <v>18</v>
      </c>
      <c r="AL30" s="345" t="s">
        <v>18</v>
      </c>
      <c r="AM30" s="346" t="s">
        <v>18</v>
      </c>
      <c r="AN30" s="334"/>
      <c r="AO30" s="754"/>
      <c r="AP30" s="742"/>
      <c r="AQ30" s="742"/>
      <c r="AR30" s="742"/>
      <c r="AS30" s="742"/>
      <c r="AT30" s="755"/>
      <c r="AU30" s="334"/>
      <c r="AV30" s="334"/>
      <c r="AW30" s="334"/>
      <c r="AX30" s="334"/>
      <c r="AY30" s="334"/>
      <c r="AZ30" s="334"/>
      <c r="BA30" s="334"/>
      <c r="BB30" s="334"/>
      <c r="BC30" s="334"/>
      <c r="BD30" s="334"/>
      <c r="BE30" s="334"/>
      <c r="BF30" s="334"/>
      <c r="BG30" s="334"/>
      <c r="BH30" s="334"/>
      <c r="BI30" s="334"/>
    </row>
    <row r="31" spans="1:61" ht="15" customHeight="1" x14ac:dyDescent="0.25">
      <c r="A31" s="334"/>
      <c r="B31" s="749"/>
      <c r="C31" s="742"/>
      <c r="D31" s="743"/>
      <c r="E31" s="741"/>
      <c r="F31" s="742"/>
      <c r="G31" s="742"/>
      <c r="H31" s="742"/>
      <c r="I31" s="743"/>
      <c r="J31" s="356" t="s">
        <v>18</v>
      </c>
      <c r="K31" s="357" t="s">
        <v>18</v>
      </c>
      <c r="L31" s="357" t="s">
        <v>18</v>
      </c>
      <c r="M31" s="357" t="s">
        <v>18</v>
      </c>
      <c r="N31" s="357" t="s">
        <v>18</v>
      </c>
      <c r="O31" s="358" t="s">
        <v>18</v>
      </c>
      <c r="P31" s="356" t="s">
        <v>18</v>
      </c>
      <c r="Q31" s="357" t="s">
        <v>18</v>
      </c>
      <c r="R31" s="357" t="s">
        <v>18</v>
      </c>
      <c r="S31" s="357" t="s">
        <v>18</v>
      </c>
      <c r="T31" s="357" t="s">
        <v>18</v>
      </c>
      <c r="U31" s="358" t="s">
        <v>18</v>
      </c>
      <c r="V31" s="356" t="s">
        <v>18</v>
      </c>
      <c r="W31" s="357" t="s">
        <v>18</v>
      </c>
      <c r="X31" s="357" t="s">
        <v>18</v>
      </c>
      <c r="Y31" s="357" t="s">
        <v>18</v>
      </c>
      <c r="Z31" s="357" t="s">
        <v>18</v>
      </c>
      <c r="AA31" s="358" t="s">
        <v>18</v>
      </c>
      <c r="AB31" s="341" t="s">
        <v>18</v>
      </c>
      <c r="AC31" s="342" t="s">
        <v>18</v>
      </c>
      <c r="AD31" s="342" t="s">
        <v>18</v>
      </c>
      <c r="AE31" s="342" t="s">
        <v>18</v>
      </c>
      <c r="AF31" s="342" t="s">
        <v>18</v>
      </c>
      <c r="AG31" s="343" t="s">
        <v>18</v>
      </c>
      <c r="AH31" s="344" t="s">
        <v>18</v>
      </c>
      <c r="AI31" s="345" t="s">
        <v>18</v>
      </c>
      <c r="AJ31" s="345" t="s">
        <v>18</v>
      </c>
      <c r="AK31" s="345" t="s">
        <v>18</v>
      </c>
      <c r="AL31" s="345" t="s">
        <v>18</v>
      </c>
      <c r="AM31" s="346" t="s">
        <v>18</v>
      </c>
      <c r="AN31" s="334"/>
      <c r="AO31" s="754"/>
      <c r="AP31" s="742"/>
      <c r="AQ31" s="742"/>
      <c r="AR31" s="742"/>
      <c r="AS31" s="742"/>
      <c r="AT31" s="755"/>
      <c r="AU31" s="334"/>
      <c r="AV31" s="334"/>
      <c r="AW31" s="334"/>
      <c r="AX31" s="334"/>
      <c r="AY31" s="334"/>
      <c r="AZ31" s="334"/>
      <c r="BA31" s="334"/>
      <c r="BB31" s="334"/>
      <c r="BC31" s="334"/>
      <c r="BD31" s="334"/>
      <c r="BE31" s="334"/>
      <c r="BF31" s="334"/>
      <c r="BG31" s="334"/>
      <c r="BH31" s="334"/>
      <c r="BI31" s="334"/>
    </row>
    <row r="32" spans="1:61" ht="15" customHeight="1" x14ac:dyDescent="0.25">
      <c r="A32" s="334"/>
      <c r="B32" s="749"/>
      <c r="C32" s="742"/>
      <c r="D32" s="743"/>
      <c r="E32" s="741"/>
      <c r="F32" s="742"/>
      <c r="G32" s="742"/>
      <c r="H32" s="742"/>
      <c r="I32" s="743"/>
      <c r="J32" s="356" t="s">
        <v>18</v>
      </c>
      <c r="K32" s="357" t="s">
        <v>18</v>
      </c>
      <c r="L32" s="357" t="s">
        <v>18</v>
      </c>
      <c r="M32" s="357" t="s">
        <v>18</v>
      </c>
      <c r="N32" s="357" t="s">
        <v>18</v>
      </c>
      <c r="O32" s="358" t="s">
        <v>18</v>
      </c>
      <c r="P32" s="356" t="s">
        <v>18</v>
      </c>
      <c r="Q32" s="357" t="s">
        <v>18</v>
      </c>
      <c r="R32" s="357" t="s">
        <v>18</v>
      </c>
      <c r="S32" s="357" t="s">
        <v>18</v>
      </c>
      <c r="T32" s="357" t="s">
        <v>18</v>
      </c>
      <c r="U32" s="358" t="s">
        <v>18</v>
      </c>
      <c r="V32" s="356" t="s">
        <v>18</v>
      </c>
      <c r="W32" s="357" t="s">
        <v>18</v>
      </c>
      <c r="X32" s="357" t="s">
        <v>18</v>
      </c>
      <c r="Y32" s="357" t="s">
        <v>18</v>
      </c>
      <c r="Z32" s="357" t="s">
        <v>18</v>
      </c>
      <c r="AA32" s="358" t="s">
        <v>18</v>
      </c>
      <c r="AB32" s="341" t="s">
        <v>18</v>
      </c>
      <c r="AC32" s="342" t="s">
        <v>18</v>
      </c>
      <c r="AD32" s="342" t="s">
        <v>18</v>
      </c>
      <c r="AE32" s="342" t="s">
        <v>18</v>
      </c>
      <c r="AF32" s="342" t="s">
        <v>18</v>
      </c>
      <c r="AG32" s="343" t="s">
        <v>18</v>
      </c>
      <c r="AH32" s="344" t="s">
        <v>18</v>
      </c>
      <c r="AI32" s="345" t="s">
        <v>18</v>
      </c>
      <c r="AJ32" s="345" t="s">
        <v>18</v>
      </c>
      <c r="AK32" s="345" t="s">
        <v>18</v>
      </c>
      <c r="AL32" s="345" t="s">
        <v>18</v>
      </c>
      <c r="AM32" s="346" t="s">
        <v>18</v>
      </c>
      <c r="AN32" s="334"/>
      <c r="AO32" s="754"/>
      <c r="AP32" s="742"/>
      <c r="AQ32" s="742"/>
      <c r="AR32" s="742"/>
      <c r="AS32" s="742"/>
      <c r="AT32" s="755"/>
      <c r="AU32" s="334"/>
      <c r="AV32" s="334"/>
      <c r="AW32" s="334"/>
      <c r="AX32" s="334"/>
      <c r="AY32" s="334"/>
      <c r="AZ32" s="334"/>
      <c r="BA32" s="334"/>
      <c r="BB32" s="334"/>
      <c r="BC32" s="334"/>
      <c r="BD32" s="334"/>
      <c r="BE32" s="334"/>
      <c r="BF32" s="334"/>
      <c r="BG32" s="334"/>
      <c r="BH32" s="334"/>
      <c r="BI32" s="334"/>
    </row>
    <row r="33" spans="1:61" ht="15" customHeight="1" x14ac:dyDescent="0.25">
      <c r="A33" s="334"/>
      <c r="B33" s="749"/>
      <c r="C33" s="742"/>
      <c r="D33" s="743"/>
      <c r="E33" s="741"/>
      <c r="F33" s="742"/>
      <c r="G33" s="742"/>
      <c r="H33" s="742"/>
      <c r="I33" s="743"/>
      <c r="J33" s="356" t="s">
        <v>18</v>
      </c>
      <c r="K33" s="357" t="s">
        <v>18</v>
      </c>
      <c r="L33" s="357" t="s">
        <v>18</v>
      </c>
      <c r="M33" s="357" t="s">
        <v>18</v>
      </c>
      <c r="N33" s="357" t="s">
        <v>18</v>
      </c>
      <c r="O33" s="358" t="s">
        <v>18</v>
      </c>
      <c r="P33" s="356" t="s">
        <v>18</v>
      </c>
      <c r="Q33" s="357" t="s">
        <v>18</v>
      </c>
      <c r="R33" s="357" t="s">
        <v>18</v>
      </c>
      <c r="S33" s="357" t="s">
        <v>18</v>
      </c>
      <c r="T33" s="357" t="s">
        <v>18</v>
      </c>
      <c r="U33" s="358" t="s">
        <v>18</v>
      </c>
      <c r="V33" s="356" t="s">
        <v>18</v>
      </c>
      <c r="W33" s="357" t="s">
        <v>18</v>
      </c>
      <c r="X33" s="357" t="s">
        <v>18</v>
      </c>
      <c r="Y33" s="357" t="s">
        <v>18</v>
      </c>
      <c r="Z33" s="357" t="s">
        <v>18</v>
      </c>
      <c r="AA33" s="358" t="s">
        <v>18</v>
      </c>
      <c r="AB33" s="341" t="s">
        <v>18</v>
      </c>
      <c r="AC33" s="342" t="s">
        <v>18</v>
      </c>
      <c r="AD33" s="342" t="s">
        <v>18</v>
      </c>
      <c r="AE33" s="342" t="s">
        <v>18</v>
      </c>
      <c r="AF33" s="342" t="s">
        <v>18</v>
      </c>
      <c r="AG33" s="343" t="s">
        <v>18</v>
      </c>
      <c r="AH33" s="344" t="s">
        <v>18</v>
      </c>
      <c r="AI33" s="345" t="s">
        <v>18</v>
      </c>
      <c r="AJ33" s="345" t="s">
        <v>18</v>
      </c>
      <c r="AK33" s="345" t="s">
        <v>18</v>
      </c>
      <c r="AL33" s="345" t="s">
        <v>18</v>
      </c>
      <c r="AM33" s="346" t="s">
        <v>18</v>
      </c>
      <c r="AN33" s="334"/>
      <c r="AO33" s="754"/>
      <c r="AP33" s="742"/>
      <c r="AQ33" s="742"/>
      <c r="AR33" s="742"/>
      <c r="AS33" s="742"/>
      <c r="AT33" s="755"/>
      <c r="AU33" s="334"/>
      <c r="AV33" s="334"/>
      <c r="AW33" s="334"/>
      <c r="AX33" s="334"/>
      <c r="AY33" s="334"/>
      <c r="AZ33" s="334"/>
      <c r="BA33" s="334"/>
      <c r="BB33" s="334"/>
      <c r="BC33" s="334"/>
      <c r="BD33" s="334"/>
      <c r="BE33" s="334"/>
      <c r="BF33" s="334"/>
      <c r="BG33" s="334"/>
      <c r="BH33" s="334"/>
      <c r="BI33" s="334"/>
    </row>
    <row r="34" spans="1:61" ht="15" customHeight="1" x14ac:dyDescent="0.25">
      <c r="A34" s="334"/>
      <c r="B34" s="749"/>
      <c r="C34" s="742"/>
      <c r="D34" s="743"/>
      <c r="E34" s="741"/>
      <c r="F34" s="742"/>
      <c r="G34" s="742"/>
      <c r="H34" s="742"/>
      <c r="I34" s="743"/>
      <c r="J34" s="356" t="s">
        <v>18</v>
      </c>
      <c r="K34" s="357" t="s">
        <v>18</v>
      </c>
      <c r="L34" s="357" t="s">
        <v>18</v>
      </c>
      <c r="M34" s="357" t="s">
        <v>18</v>
      </c>
      <c r="N34" s="357" t="s">
        <v>18</v>
      </c>
      <c r="O34" s="358" t="s">
        <v>18</v>
      </c>
      <c r="P34" s="356" t="s">
        <v>18</v>
      </c>
      <c r="Q34" s="357" t="s">
        <v>18</v>
      </c>
      <c r="R34" s="357" t="s">
        <v>18</v>
      </c>
      <c r="S34" s="357" t="s">
        <v>18</v>
      </c>
      <c r="T34" s="357" t="s">
        <v>18</v>
      </c>
      <c r="U34" s="358" t="s">
        <v>18</v>
      </c>
      <c r="V34" s="356" t="s">
        <v>18</v>
      </c>
      <c r="W34" s="357" t="s">
        <v>18</v>
      </c>
      <c r="X34" s="357" t="s">
        <v>18</v>
      </c>
      <c r="Y34" s="357" t="s">
        <v>18</v>
      </c>
      <c r="Z34" s="357" t="s">
        <v>18</v>
      </c>
      <c r="AA34" s="358" t="s">
        <v>18</v>
      </c>
      <c r="AB34" s="341" t="s">
        <v>18</v>
      </c>
      <c r="AC34" s="342" t="s">
        <v>18</v>
      </c>
      <c r="AD34" s="342" t="s">
        <v>18</v>
      </c>
      <c r="AE34" s="342" t="s">
        <v>18</v>
      </c>
      <c r="AF34" s="342" t="s">
        <v>18</v>
      </c>
      <c r="AG34" s="343" t="s">
        <v>18</v>
      </c>
      <c r="AH34" s="344" t="s">
        <v>18</v>
      </c>
      <c r="AI34" s="345" t="s">
        <v>18</v>
      </c>
      <c r="AJ34" s="345" t="s">
        <v>18</v>
      </c>
      <c r="AK34" s="345" t="s">
        <v>18</v>
      </c>
      <c r="AL34" s="345" t="s">
        <v>18</v>
      </c>
      <c r="AM34" s="346" t="s">
        <v>18</v>
      </c>
      <c r="AN34" s="334"/>
      <c r="AO34" s="754"/>
      <c r="AP34" s="742"/>
      <c r="AQ34" s="742"/>
      <c r="AR34" s="742"/>
      <c r="AS34" s="742"/>
      <c r="AT34" s="755"/>
      <c r="AU34" s="334"/>
      <c r="AV34" s="334"/>
      <c r="AW34" s="334"/>
      <c r="AX34" s="334"/>
      <c r="AY34" s="334"/>
      <c r="AZ34" s="334"/>
      <c r="BA34" s="334"/>
      <c r="BB34" s="334"/>
      <c r="BC34" s="334"/>
      <c r="BD34" s="334"/>
      <c r="BE34" s="334"/>
      <c r="BF34" s="334"/>
      <c r="BG34" s="334"/>
      <c r="BH34" s="334"/>
      <c r="BI34" s="334"/>
    </row>
    <row r="35" spans="1:61" ht="15.75" customHeight="1" thickBot="1" x14ac:dyDescent="0.3">
      <c r="A35" s="334"/>
      <c r="B35" s="749"/>
      <c r="C35" s="742"/>
      <c r="D35" s="743"/>
      <c r="E35" s="744"/>
      <c r="F35" s="745"/>
      <c r="G35" s="745"/>
      <c r="H35" s="745"/>
      <c r="I35" s="746"/>
      <c r="J35" s="356" t="s">
        <v>18</v>
      </c>
      <c r="K35" s="357" t="s">
        <v>18</v>
      </c>
      <c r="L35" s="357" t="s">
        <v>18</v>
      </c>
      <c r="M35" s="357" t="s">
        <v>18</v>
      </c>
      <c r="N35" s="357" t="s">
        <v>18</v>
      </c>
      <c r="O35" s="358" t="s">
        <v>18</v>
      </c>
      <c r="P35" s="356" t="s">
        <v>18</v>
      </c>
      <c r="Q35" s="357" t="s">
        <v>18</v>
      </c>
      <c r="R35" s="357" t="s">
        <v>18</v>
      </c>
      <c r="S35" s="357" t="s">
        <v>18</v>
      </c>
      <c r="T35" s="357" t="s">
        <v>18</v>
      </c>
      <c r="U35" s="358" t="s">
        <v>18</v>
      </c>
      <c r="V35" s="356" t="s">
        <v>18</v>
      </c>
      <c r="W35" s="357" t="s">
        <v>18</v>
      </c>
      <c r="X35" s="357" t="s">
        <v>18</v>
      </c>
      <c r="Y35" s="357" t="s">
        <v>18</v>
      </c>
      <c r="Z35" s="357" t="s">
        <v>18</v>
      </c>
      <c r="AA35" s="358" t="s">
        <v>18</v>
      </c>
      <c r="AB35" s="347" t="s">
        <v>18</v>
      </c>
      <c r="AC35" s="348" t="s">
        <v>18</v>
      </c>
      <c r="AD35" s="348" t="s">
        <v>18</v>
      </c>
      <c r="AE35" s="348" t="s">
        <v>18</v>
      </c>
      <c r="AF35" s="348" t="s">
        <v>18</v>
      </c>
      <c r="AG35" s="349" t="s">
        <v>18</v>
      </c>
      <c r="AH35" s="350" t="s">
        <v>18</v>
      </c>
      <c r="AI35" s="351" t="s">
        <v>18</v>
      </c>
      <c r="AJ35" s="351" t="s">
        <v>18</v>
      </c>
      <c r="AK35" s="351" t="s">
        <v>18</v>
      </c>
      <c r="AL35" s="351" t="s">
        <v>18</v>
      </c>
      <c r="AM35" s="352" t="s">
        <v>18</v>
      </c>
      <c r="AN35" s="334"/>
      <c r="AO35" s="756"/>
      <c r="AP35" s="757"/>
      <c r="AQ35" s="757"/>
      <c r="AR35" s="757"/>
      <c r="AS35" s="757"/>
      <c r="AT35" s="758"/>
      <c r="AU35" s="334"/>
      <c r="AV35" s="334"/>
      <c r="AW35" s="334"/>
      <c r="AX35" s="334"/>
      <c r="AY35" s="334"/>
      <c r="AZ35" s="334"/>
      <c r="BA35" s="334"/>
      <c r="BB35" s="334"/>
      <c r="BC35" s="334"/>
      <c r="BD35" s="334"/>
      <c r="BE35" s="334"/>
      <c r="BF35" s="334"/>
      <c r="BG35" s="334"/>
      <c r="BH35" s="334"/>
      <c r="BI35" s="334"/>
    </row>
    <row r="36" spans="1:61" ht="15" customHeight="1" x14ac:dyDescent="0.25">
      <c r="A36" s="334"/>
      <c r="B36" s="749"/>
      <c r="C36" s="742"/>
      <c r="D36" s="743"/>
      <c r="E36" s="738" t="s">
        <v>9</v>
      </c>
      <c r="F36" s="739"/>
      <c r="G36" s="739"/>
      <c r="H36" s="739"/>
      <c r="I36" s="739"/>
      <c r="J36" s="362" t="s">
        <v>18</v>
      </c>
      <c r="K36" s="363" t="s">
        <v>18</v>
      </c>
      <c r="L36" s="363" t="s">
        <v>18</v>
      </c>
      <c r="M36" s="363" t="s">
        <v>18</v>
      </c>
      <c r="N36" s="363" t="s">
        <v>18</v>
      </c>
      <c r="O36" s="364" t="s">
        <v>18</v>
      </c>
      <c r="P36" s="353" t="s">
        <v>18</v>
      </c>
      <c r="Q36" s="354" t="s">
        <v>18</v>
      </c>
      <c r="R36" s="354" t="s">
        <v>18</v>
      </c>
      <c r="S36" s="354" t="s">
        <v>18</v>
      </c>
      <c r="T36" s="354" t="s">
        <v>18</v>
      </c>
      <c r="U36" s="355" t="s">
        <v>18</v>
      </c>
      <c r="V36" s="353" t="s">
        <v>18</v>
      </c>
      <c r="W36" s="354" t="s">
        <v>18</v>
      </c>
      <c r="X36" s="354" t="s">
        <v>18</v>
      </c>
      <c r="Y36" s="354" t="s">
        <v>18</v>
      </c>
      <c r="Z36" s="354" t="s">
        <v>18</v>
      </c>
      <c r="AA36" s="355" t="s">
        <v>18</v>
      </c>
      <c r="AB36" s="335" t="s">
        <v>18</v>
      </c>
      <c r="AC36" s="336" t="s">
        <v>18</v>
      </c>
      <c r="AD36" s="336" t="s">
        <v>18</v>
      </c>
      <c r="AE36" s="336" t="s">
        <v>18</v>
      </c>
      <c r="AF36" s="336" t="s">
        <v>18</v>
      </c>
      <c r="AG36" s="337" t="s">
        <v>18</v>
      </c>
      <c r="AH36" s="338" t="s">
        <v>18</v>
      </c>
      <c r="AI36" s="339" t="s">
        <v>18</v>
      </c>
      <c r="AJ36" s="339" t="s">
        <v>18</v>
      </c>
      <c r="AK36" s="339" t="s">
        <v>18</v>
      </c>
      <c r="AL36" s="339" t="s">
        <v>18</v>
      </c>
      <c r="AM36" s="340" t="s">
        <v>18</v>
      </c>
      <c r="AN36" s="334"/>
      <c r="AO36" s="761" t="s">
        <v>10</v>
      </c>
      <c r="AP36" s="752"/>
      <c r="AQ36" s="752"/>
      <c r="AR36" s="752"/>
      <c r="AS36" s="752"/>
      <c r="AT36" s="753"/>
      <c r="AU36" s="334"/>
      <c r="AV36" s="334"/>
      <c r="AW36" s="334"/>
      <c r="AX36" s="334"/>
      <c r="AY36" s="334"/>
      <c r="AZ36" s="334"/>
      <c r="BA36" s="334"/>
      <c r="BB36" s="334"/>
      <c r="BC36" s="334"/>
      <c r="BD36" s="334"/>
      <c r="BE36" s="334"/>
      <c r="BF36" s="334"/>
      <c r="BG36" s="334"/>
      <c r="BH36" s="334"/>
      <c r="BI36" s="334"/>
    </row>
    <row r="37" spans="1:61" ht="15" customHeight="1" x14ac:dyDescent="0.25">
      <c r="A37" s="334"/>
      <c r="B37" s="749"/>
      <c r="C37" s="742"/>
      <c r="D37" s="743"/>
      <c r="E37" s="741"/>
      <c r="F37" s="742"/>
      <c r="G37" s="742"/>
      <c r="H37" s="742"/>
      <c r="I37" s="742"/>
      <c r="J37" s="365" t="s">
        <v>18</v>
      </c>
      <c r="K37" s="366" t="s">
        <v>18</v>
      </c>
      <c r="L37" s="366" t="s">
        <v>18</v>
      </c>
      <c r="M37" s="366" t="s">
        <v>18</v>
      </c>
      <c r="N37" s="366" t="s">
        <v>18</v>
      </c>
      <c r="O37" s="367" t="s">
        <v>18</v>
      </c>
      <c r="P37" s="356" t="s">
        <v>18</v>
      </c>
      <c r="Q37" s="357" t="s">
        <v>18</v>
      </c>
      <c r="R37" s="357" t="s">
        <v>18</v>
      </c>
      <c r="S37" s="357" t="s">
        <v>18</v>
      </c>
      <c r="T37" s="357" t="s">
        <v>18</v>
      </c>
      <c r="U37" s="358" t="s">
        <v>18</v>
      </c>
      <c r="V37" s="356" t="s">
        <v>18</v>
      </c>
      <c r="W37" s="357" t="s">
        <v>18</v>
      </c>
      <c r="X37" s="357" t="s">
        <v>18</v>
      </c>
      <c r="Y37" s="357" t="s">
        <v>18</v>
      </c>
      <c r="Z37" s="357" t="s">
        <v>18</v>
      </c>
      <c r="AA37" s="358" t="s">
        <v>18</v>
      </c>
      <c r="AB37" s="341" t="s">
        <v>18</v>
      </c>
      <c r="AC37" s="342" t="s">
        <v>18</v>
      </c>
      <c r="AD37" s="342" t="s">
        <v>18</v>
      </c>
      <c r="AE37" s="342" t="s">
        <v>18</v>
      </c>
      <c r="AF37" s="342" t="s">
        <v>18</v>
      </c>
      <c r="AG37" s="343" t="s">
        <v>18</v>
      </c>
      <c r="AH37" s="344" t="s">
        <v>18</v>
      </c>
      <c r="AI37" s="345" t="s">
        <v>18</v>
      </c>
      <c r="AJ37" s="345" t="s">
        <v>18</v>
      </c>
      <c r="AK37" s="345" t="s">
        <v>18</v>
      </c>
      <c r="AL37" s="345" t="s">
        <v>18</v>
      </c>
      <c r="AM37" s="346" t="s">
        <v>18</v>
      </c>
      <c r="AN37" s="334"/>
      <c r="AO37" s="754"/>
      <c r="AP37" s="742"/>
      <c r="AQ37" s="742"/>
      <c r="AR37" s="742"/>
      <c r="AS37" s="742"/>
      <c r="AT37" s="755"/>
      <c r="AU37" s="334"/>
      <c r="AV37" s="334"/>
      <c r="AW37" s="334"/>
      <c r="AX37" s="334"/>
      <c r="AY37" s="334"/>
      <c r="AZ37" s="334"/>
      <c r="BA37" s="334"/>
      <c r="BB37" s="334"/>
      <c r="BC37" s="334"/>
      <c r="BD37" s="334"/>
      <c r="BE37" s="334"/>
      <c r="BF37" s="334"/>
      <c r="BG37" s="334"/>
      <c r="BH37" s="334"/>
      <c r="BI37" s="334"/>
    </row>
    <row r="38" spans="1:61" ht="15" customHeight="1" x14ac:dyDescent="0.25">
      <c r="A38" s="334"/>
      <c r="B38" s="749"/>
      <c r="C38" s="742"/>
      <c r="D38" s="743"/>
      <c r="E38" s="741"/>
      <c r="F38" s="742"/>
      <c r="G38" s="742"/>
      <c r="H38" s="742"/>
      <c r="I38" s="742"/>
      <c r="J38" s="365" t="s">
        <v>18</v>
      </c>
      <c r="K38" s="366" t="s">
        <v>18</v>
      </c>
      <c r="L38" s="366" t="s">
        <v>18</v>
      </c>
      <c r="M38" s="366" t="s">
        <v>18</v>
      </c>
      <c r="N38" s="366" t="s">
        <v>18</v>
      </c>
      <c r="O38" s="367" t="s">
        <v>18</v>
      </c>
      <c r="P38" s="356" t="s">
        <v>18</v>
      </c>
      <c r="Q38" s="357" t="s">
        <v>18</v>
      </c>
      <c r="R38" s="357" t="s">
        <v>18</v>
      </c>
      <c r="S38" s="357" t="s">
        <v>18</v>
      </c>
      <c r="T38" s="357" t="s">
        <v>18</v>
      </c>
      <c r="U38" s="358" t="s">
        <v>18</v>
      </c>
      <c r="V38" s="356" t="s">
        <v>18</v>
      </c>
      <c r="W38" s="357" t="s">
        <v>18</v>
      </c>
      <c r="X38" s="357" t="s">
        <v>18</v>
      </c>
      <c r="Y38" s="357" t="s">
        <v>18</v>
      </c>
      <c r="Z38" s="357" t="s">
        <v>18</v>
      </c>
      <c r="AA38" s="358" t="s">
        <v>18</v>
      </c>
      <c r="AB38" s="341" t="s">
        <v>18</v>
      </c>
      <c r="AC38" s="342" t="s">
        <v>18</v>
      </c>
      <c r="AD38" s="342" t="s">
        <v>18</v>
      </c>
      <c r="AE38" s="342" t="s">
        <v>18</v>
      </c>
      <c r="AF38" s="342" t="s">
        <v>18</v>
      </c>
      <c r="AG38" s="343" t="s">
        <v>18</v>
      </c>
      <c r="AH38" s="344" t="s">
        <v>18</v>
      </c>
      <c r="AI38" s="345" t="s">
        <v>18</v>
      </c>
      <c r="AJ38" s="345" t="s">
        <v>18</v>
      </c>
      <c r="AK38" s="345" t="s">
        <v>18</v>
      </c>
      <c r="AL38" s="345" t="s">
        <v>18</v>
      </c>
      <c r="AM38" s="346" t="s">
        <v>18</v>
      </c>
      <c r="AN38" s="334"/>
      <c r="AO38" s="754"/>
      <c r="AP38" s="742"/>
      <c r="AQ38" s="742"/>
      <c r="AR38" s="742"/>
      <c r="AS38" s="742"/>
      <c r="AT38" s="755"/>
      <c r="AU38" s="334"/>
      <c r="AV38" s="334"/>
      <c r="AW38" s="334"/>
      <c r="AX38" s="334"/>
      <c r="AY38" s="334"/>
      <c r="AZ38" s="334"/>
      <c r="BA38" s="334"/>
      <c r="BB38" s="334"/>
      <c r="BC38" s="334"/>
      <c r="BD38" s="334"/>
      <c r="BE38" s="334"/>
      <c r="BF38" s="334"/>
      <c r="BG38" s="334"/>
      <c r="BH38" s="334"/>
      <c r="BI38" s="334"/>
    </row>
    <row r="39" spans="1:61" ht="15" customHeight="1" x14ac:dyDescent="0.25">
      <c r="A39" s="334"/>
      <c r="B39" s="749"/>
      <c r="C39" s="742"/>
      <c r="D39" s="743"/>
      <c r="E39" s="741"/>
      <c r="F39" s="742"/>
      <c r="G39" s="742"/>
      <c r="H39" s="742"/>
      <c r="I39" s="742"/>
      <c r="J39" s="365" t="s">
        <v>18</v>
      </c>
      <c r="K39" s="366" t="s">
        <v>18</v>
      </c>
      <c r="L39" s="366" t="s">
        <v>18</v>
      </c>
      <c r="M39" s="366" t="s">
        <v>18</v>
      </c>
      <c r="N39" s="366" t="s">
        <v>18</v>
      </c>
      <c r="O39" s="367" t="s">
        <v>18</v>
      </c>
      <c r="P39" s="356" t="s">
        <v>18</v>
      </c>
      <c r="Q39" s="357" t="s">
        <v>18</v>
      </c>
      <c r="R39" s="357" t="s">
        <v>18</v>
      </c>
      <c r="S39" s="357" t="s">
        <v>18</v>
      </c>
      <c r="T39" s="357" t="s">
        <v>18</v>
      </c>
      <c r="U39" s="358" t="s">
        <v>18</v>
      </c>
      <c r="V39" s="356" t="s">
        <v>18</v>
      </c>
      <c r="W39" s="357" t="s">
        <v>18</v>
      </c>
      <c r="X39" s="357" t="s">
        <v>18</v>
      </c>
      <c r="Y39" s="357" t="s">
        <v>18</v>
      </c>
      <c r="Z39" s="357" t="s">
        <v>18</v>
      </c>
      <c r="AA39" s="358" t="s">
        <v>18</v>
      </c>
      <c r="AB39" s="341" t="s">
        <v>18</v>
      </c>
      <c r="AC39" s="342" t="s">
        <v>18</v>
      </c>
      <c r="AD39" s="342" t="s">
        <v>18</v>
      </c>
      <c r="AE39" s="342" t="s">
        <v>18</v>
      </c>
      <c r="AF39" s="342" t="s">
        <v>18</v>
      </c>
      <c r="AG39" s="343" t="s">
        <v>18</v>
      </c>
      <c r="AH39" s="344" t="s">
        <v>18</v>
      </c>
      <c r="AI39" s="345" t="s">
        <v>18</v>
      </c>
      <c r="AJ39" s="345" t="s">
        <v>18</v>
      </c>
      <c r="AK39" s="345" t="s">
        <v>18</v>
      </c>
      <c r="AL39" s="345" t="s">
        <v>18</v>
      </c>
      <c r="AM39" s="346" t="s">
        <v>18</v>
      </c>
      <c r="AN39" s="334"/>
      <c r="AO39" s="754"/>
      <c r="AP39" s="742"/>
      <c r="AQ39" s="742"/>
      <c r="AR39" s="742"/>
      <c r="AS39" s="742"/>
      <c r="AT39" s="755"/>
      <c r="AU39" s="334"/>
      <c r="AV39" s="334"/>
      <c r="AW39" s="334"/>
      <c r="AX39" s="334"/>
      <c r="AY39" s="334"/>
      <c r="AZ39" s="334"/>
      <c r="BA39" s="334"/>
      <c r="BB39" s="334"/>
      <c r="BC39" s="334"/>
      <c r="BD39" s="334"/>
      <c r="BE39" s="334"/>
      <c r="BF39" s="334"/>
      <c r="BG39" s="334"/>
      <c r="BH39" s="334"/>
      <c r="BI39" s="334"/>
    </row>
    <row r="40" spans="1:61" ht="15" customHeight="1" x14ac:dyDescent="0.25">
      <c r="A40" s="334"/>
      <c r="B40" s="749"/>
      <c r="C40" s="742"/>
      <c r="D40" s="743"/>
      <c r="E40" s="741"/>
      <c r="F40" s="742"/>
      <c r="G40" s="742"/>
      <c r="H40" s="742"/>
      <c r="I40" s="742"/>
      <c r="J40" s="365" t="s">
        <v>18</v>
      </c>
      <c r="K40" s="366" t="s">
        <v>18</v>
      </c>
      <c r="L40" s="366" t="s">
        <v>18</v>
      </c>
      <c r="M40" s="366" t="s">
        <v>18</v>
      </c>
      <c r="N40" s="366" t="s">
        <v>18</v>
      </c>
      <c r="O40" s="367" t="s">
        <v>18</v>
      </c>
      <c r="P40" s="356" t="s">
        <v>18</v>
      </c>
      <c r="Q40" s="357" t="s">
        <v>18</v>
      </c>
      <c r="R40" s="357" t="s">
        <v>18</v>
      </c>
      <c r="S40" s="357" t="s">
        <v>18</v>
      </c>
      <c r="T40" s="357" t="s">
        <v>18</v>
      </c>
      <c r="U40" s="358" t="s">
        <v>18</v>
      </c>
      <c r="V40" s="356" t="s">
        <v>18</v>
      </c>
      <c r="W40" s="357" t="s">
        <v>18</v>
      </c>
      <c r="X40" s="357" t="s">
        <v>18</v>
      </c>
      <c r="Y40" s="357" t="s">
        <v>18</v>
      </c>
      <c r="Z40" s="357" t="s">
        <v>18</v>
      </c>
      <c r="AA40" s="358" t="s">
        <v>18</v>
      </c>
      <c r="AB40" s="341" t="s">
        <v>18</v>
      </c>
      <c r="AC40" s="342" t="s">
        <v>18</v>
      </c>
      <c r="AD40" s="342" t="s">
        <v>18</v>
      </c>
      <c r="AE40" s="342" t="s">
        <v>18</v>
      </c>
      <c r="AF40" s="342" t="s">
        <v>18</v>
      </c>
      <c r="AG40" s="343" t="s">
        <v>18</v>
      </c>
      <c r="AH40" s="344" t="s">
        <v>18</v>
      </c>
      <c r="AI40" s="345" t="s">
        <v>18</v>
      </c>
      <c r="AJ40" s="345" t="s">
        <v>18</v>
      </c>
      <c r="AK40" s="345" t="s">
        <v>18</v>
      </c>
      <c r="AL40" s="345" t="s">
        <v>18</v>
      </c>
      <c r="AM40" s="346" t="s">
        <v>18</v>
      </c>
      <c r="AN40" s="334"/>
      <c r="AO40" s="754"/>
      <c r="AP40" s="742"/>
      <c r="AQ40" s="742"/>
      <c r="AR40" s="742"/>
      <c r="AS40" s="742"/>
      <c r="AT40" s="755"/>
      <c r="AU40" s="334"/>
      <c r="AV40" s="334"/>
      <c r="AW40" s="334"/>
      <c r="AX40" s="334"/>
      <c r="AY40" s="334"/>
      <c r="AZ40" s="334"/>
      <c r="BA40" s="334"/>
      <c r="BB40" s="334"/>
      <c r="BC40" s="334"/>
      <c r="BD40" s="334"/>
      <c r="BE40" s="334"/>
      <c r="BF40" s="334"/>
      <c r="BG40" s="334"/>
      <c r="BH40" s="334"/>
      <c r="BI40" s="334"/>
    </row>
    <row r="41" spans="1:61" ht="15" customHeight="1" x14ac:dyDescent="0.25">
      <c r="A41" s="334"/>
      <c r="B41" s="749"/>
      <c r="C41" s="742"/>
      <c r="D41" s="743"/>
      <c r="E41" s="741"/>
      <c r="F41" s="742"/>
      <c r="G41" s="742"/>
      <c r="H41" s="742"/>
      <c r="I41" s="742"/>
      <c r="J41" s="365" t="s">
        <v>18</v>
      </c>
      <c r="K41" s="366" t="s">
        <v>18</v>
      </c>
      <c r="L41" s="366" t="s">
        <v>18</v>
      </c>
      <c r="M41" s="366" t="s">
        <v>18</v>
      </c>
      <c r="N41" s="366" t="s">
        <v>18</v>
      </c>
      <c r="O41" s="367" t="s">
        <v>18</v>
      </c>
      <c r="P41" s="356" t="s">
        <v>18</v>
      </c>
      <c r="Q41" s="357" t="s">
        <v>18</v>
      </c>
      <c r="R41" s="357" t="s">
        <v>18</v>
      </c>
      <c r="S41" s="357" t="s">
        <v>18</v>
      </c>
      <c r="T41" s="357" t="s">
        <v>18</v>
      </c>
      <c r="U41" s="358" t="s">
        <v>18</v>
      </c>
      <c r="V41" s="356" t="s">
        <v>18</v>
      </c>
      <c r="W41" s="357" t="s">
        <v>18</v>
      </c>
      <c r="X41" s="357" t="s">
        <v>18</v>
      </c>
      <c r="Y41" s="357" t="s">
        <v>18</v>
      </c>
      <c r="Z41" s="357" t="s">
        <v>18</v>
      </c>
      <c r="AA41" s="358" t="s">
        <v>18</v>
      </c>
      <c r="AB41" s="341" t="s">
        <v>18</v>
      </c>
      <c r="AC41" s="342" t="s">
        <v>18</v>
      </c>
      <c r="AD41" s="342" t="s">
        <v>18</v>
      </c>
      <c r="AE41" s="342" t="s">
        <v>18</v>
      </c>
      <c r="AF41" s="342" t="s">
        <v>18</v>
      </c>
      <c r="AG41" s="343" t="s">
        <v>18</v>
      </c>
      <c r="AH41" s="344" t="s">
        <v>18</v>
      </c>
      <c r="AI41" s="345" t="s">
        <v>18</v>
      </c>
      <c r="AJ41" s="345" t="s">
        <v>18</v>
      </c>
      <c r="AK41" s="345" t="s">
        <v>18</v>
      </c>
      <c r="AL41" s="345" t="s">
        <v>18</v>
      </c>
      <c r="AM41" s="346" t="s">
        <v>18</v>
      </c>
      <c r="AN41" s="334"/>
      <c r="AO41" s="754"/>
      <c r="AP41" s="742"/>
      <c r="AQ41" s="742"/>
      <c r="AR41" s="742"/>
      <c r="AS41" s="742"/>
      <c r="AT41" s="755"/>
      <c r="AU41" s="334"/>
      <c r="AV41" s="334"/>
      <c r="AW41" s="334"/>
      <c r="AX41" s="334"/>
      <c r="AY41" s="334"/>
      <c r="AZ41" s="334"/>
      <c r="BA41" s="334"/>
      <c r="BB41" s="334"/>
      <c r="BC41" s="334"/>
      <c r="BD41" s="334"/>
      <c r="BE41" s="334"/>
      <c r="BF41" s="334"/>
      <c r="BG41" s="334"/>
      <c r="BH41" s="334"/>
      <c r="BI41" s="334"/>
    </row>
    <row r="42" spans="1:61" ht="15" customHeight="1" x14ac:dyDescent="0.25">
      <c r="A42" s="334"/>
      <c r="B42" s="749"/>
      <c r="C42" s="742"/>
      <c r="D42" s="743"/>
      <c r="E42" s="741"/>
      <c r="F42" s="742"/>
      <c r="G42" s="742"/>
      <c r="H42" s="742"/>
      <c r="I42" s="742"/>
      <c r="J42" s="365" t="s">
        <v>18</v>
      </c>
      <c r="K42" s="366" t="s">
        <v>18</v>
      </c>
      <c r="L42" s="366" t="s">
        <v>18</v>
      </c>
      <c r="M42" s="366" t="s">
        <v>18</v>
      </c>
      <c r="N42" s="366" t="s">
        <v>18</v>
      </c>
      <c r="O42" s="367" t="s">
        <v>18</v>
      </c>
      <c r="P42" s="356" t="s">
        <v>18</v>
      </c>
      <c r="Q42" s="357" t="s">
        <v>18</v>
      </c>
      <c r="R42" s="357" t="s">
        <v>18</v>
      </c>
      <c r="S42" s="357" t="s">
        <v>18</v>
      </c>
      <c r="T42" s="357" t="s">
        <v>18</v>
      </c>
      <c r="U42" s="358" t="s">
        <v>18</v>
      </c>
      <c r="V42" s="356" t="s">
        <v>18</v>
      </c>
      <c r="W42" s="357" t="s">
        <v>18</v>
      </c>
      <c r="X42" s="357" t="s">
        <v>18</v>
      </c>
      <c r="Y42" s="357" t="s">
        <v>18</v>
      </c>
      <c r="Z42" s="357" t="s">
        <v>18</v>
      </c>
      <c r="AA42" s="358" t="s">
        <v>18</v>
      </c>
      <c r="AB42" s="341" t="s">
        <v>18</v>
      </c>
      <c r="AC42" s="342" t="s">
        <v>18</v>
      </c>
      <c r="AD42" s="342" t="s">
        <v>18</v>
      </c>
      <c r="AE42" s="342" t="s">
        <v>18</v>
      </c>
      <c r="AF42" s="342" t="s">
        <v>18</v>
      </c>
      <c r="AG42" s="343" t="s">
        <v>18</v>
      </c>
      <c r="AH42" s="344" t="s">
        <v>18</v>
      </c>
      <c r="AI42" s="345" t="s">
        <v>18</v>
      </c>
      <c r="AJ42" s="345" t="s">
        <v>18</v>
      </c>
      <c r="AK42" s="345" t="s">
        <v>18</v>
      </c>
      <c r="AL42" s="345" t="s">
        <v>18</v>
      </c>
      <c r="AM42" s="346" t="s">
        <v>18</v>
      </c>
      <c r="AN42" s="334"/>
      <c r="AO42" s="754"/>
      <c r="AP42" s="742"/>
      <c r="AQ42" s="742"/>
      <c r="AR42" s="742"/>
      <c r="AS42" s="742"/>
      <c r="AT42" s="755"/>
      <c r="AU42" s="334"/>
      <c r="AV42" s="334"/>
      <c r="AW42" s="334"/>
      <c r="AX42" s="334"/>
      <c r="AY42" s="334"/>
      <c r="AZ42" s="334"/>
      <c r="BA42" s="334"/>
      <c r="BB42" s="334"/>
      <c r="BC42" s="334"/>
      <c r="BD42" s="334"/>
      <c r="BE42" s="334"/>
      <c r="BF42" s="334"/>
      <c r="BG42" s="334"/>
      <c r="BH42" s="334"/>
      <c r="BI42" s="334"/>
    </row>
    <row r="43" spans="1:61" ht="15" customHeight="1" x14ac:dyDescent="0.25">
      <c r="A43" s="334"/>
      <c r="B43" s="749"/>
      <c r="C43" s="742"/>
      <c r="D43" s="743"/>
      <c r="E43" s="741"/>
      <c r="F43" s="742"/>
      <c r="G43" s="742"/>
      <c r="H43" s="742"/>
      <c r="I43" s="742"/>
      <c r="J43" s="365" t="s">
        <v>18</v>
      </c>
      <c r="K43" s="366" t="s">
        <v>18</v>
      </c>
      <c r="L43" s="366" t="s">
        <v>18</v>
      </c>
      <c r="M43" s="366" t="s">
        <v>18</v>
      </c>
      <c r="N43" s="366" t="s">
        <v>18</v>
      </c>
      <c r="O43" s="367" t="s">
        <v>18</v>
      </c>
      <c r="P43" s="356" t="s">
        <v>18</v>
      </c>
      <c r="Q43" s="357" t="s">
        <v>18</v>
      </c>
      <c r="R43" s="357" t="s">
        <v>18</v>
      </c>
      <c r="S43" s="357" t="s">
        <v>18</v>
      </c>
      <c r="T43" s="357" t="s">
        <v>18</v>
      </c>
      <c r="U43" s="358" t="s">
        <v>18</v>
      </c>
      <c r="V43" s="356" t="s">
        <v>18</v>
      </c>
      <c r="W43" s="357" t="s">
        <v>18</v>
      </c>
      <c r="X43" s="357" t="s">
        <v>18</v>
      </c>
      <c r="Y43" s="357" t="s">
        <v>18</v>
      </c>
      <c r="Z43" s="357" t="s">
        <v>18</v>
      </c>
      <c r="AA43" s="358" t="s">
        <v>18</v>
      </c>
      <c r="AB43" s="341" t="s">
        <v>18</v>
      </c>
      <c r="AC43" s="342" t="s">
        <v>18</v>
      </c>
      <c r="AD43" s="342" t="s">
        <v>18</v>
      </c>
      <c r="AE43" s="342" t="s">
        <v>18</v>
      </c>
      <c r="AF43" s="342" t="s">
        <v>18</v>
      </c>
      <c r="AG43" s="343" t="s">
        <v>18</v>
      </c>
      <c r="AH43" s="344" t="s">
        <v>18</v>
      </c>
      <c r="AI43" s="345" t="s">
        <v>18</v>
      </c>
      <c r="AJ43" s="345" t="s">
        <v>18</v>
      </c>
      <c r="AK43" s="345" t="s">
        <v>18</v>
      </c>
      <c r="AL43" s="345" t="s">
        <v>18</v>
      </c>
      <c r="AM43" s="346" t="s">
        <v>18</v>
      </c>
      <c r="AN43" s="334"/>
      <c r="AO43" s="754"/>
      <c r="AP43" s="742"/>
      <c r="AQ43" s="742"/>
      <c r="AR43" s="742"/>
      <c r="AS43" s="742"/>
      <c r="AT43" s="755"/>
      <c r="AU43" s="334"/>
      <c r="AV43" s="334"/>
      <c r="AW43" s="334"/>
      <c r="AX43" s="334"/>
      <c r="AY43" s="334"/>
      <c r="AZ43" s="334"/>
      <c r="BA43" s="334"/>
      <c r="BB43" s="334"/>
      <c r="BC43" s="334"/>
      <c r="BD43" s="334"/>
      <c r="BE43" s="334"/>
      <c r="BF43" s="334"/>
      <c r="BG43" s="334"/>
      <c r="BH43" s="334"/>
      <c r="BI43" s="334"/>
    </row>
    <row r="44" spans="1:61" ht="15" customHeight="1" x14ac:dyDescent="0.25">
      <c r="A44" s="334"/>
      <c r="B44" s="749"/>
      <c r="C44" s="742"/>
      <c r="D44" s="743"/>
      <c r="E44" s="741"/>
      <c r="F44" s="742"/>
      <c r="G44" s="742"/>
      <c r="H44" s="742"/>
      <c r="I44" s="742"/>
      <c r="J44" s="365" t="s">
        <v>18</v>
      </c>
      <c r="K44" s="366" t="s">
        <v>18</v>
      </c>
      <c r="L44" s="366" t="s">
        <v>18</v>
      </c>
      <c r="M44" s="366" t="s">
        <v>18</v>
      </c>
      <c r="N44" s="366" t="s">
        <v>18</v>
      </c>
      <c r="O44" s="367" t="s">
        <v>18</v>
      </c>
      <c r="P44" s="356" t="s">
        <v>18</v>
      </c>
      <c r="Q44" s="357" t="s">
        <v>18</v>
      </c>
      <c r="R44" s="357" t="s">
        <v>18</v>
      </c>
      <c r="S44" s="357" t="s">
        <v>18</v>
      </c>
      <c r="T44" s="357" t="s">
        <v>18</v>
      </c>
      <c r="U44" s="358" t="s">
        <v>18</v>
      </c>
      <c r="V44" s="356" t="s">
        <v>18</v>
      </c>
      <c r="W44" s="357" t="s">
        <v>18</v>
      </c>
      <c r="X44" s="357" t="s">
        <v>18</v>
      </c>
      <c r="Y44" s="357" t="s">
        <v>18</v>
      </c>
      <c r="Z44" s="357" t="s">
        <v>18</v>
      </c>
      <c r="AA44" s="358" t="s">
        <v>18</v>
      </c>
      <c r="AB44" s="341" t="s">
        <v>18</v>
      </c>
      <c r="AC44" s="342" t="s">
        <v>18</v>
      </c>
      <c r="AD44" s="342" t="s">
        <v>18</v>
      </c>
      <c r="AE44" s="342" t="s">
        <v>18</v>
      </c>
      <c r="AF44" s="342" t="s">
        <v>18</v>
      </c>
      <c r="AG44" s="343" t="s">
        <v>18</v>
      </c>
      <c r="AH44" s="344" t="s">
        <v>18</v>
      </c>
      <c r="AI44" s="345" t="s">
        <v>18</v>
      </c>
      <c r="AJ44" s="345" t="s">
        <v>18</v>
      </c>
      <c r="AK44" s="345" t="s">
        <v>18</v>
      </c>
      <c r="AL44" s="345" t="s">
        <v>18</v>
      </c>
      <c r="AM44" s="346" t="s">
        <v>18</v>
      </c>
      <c r="AN44" s="334"/>
      <c r="AO44" s="754"/>
      <c r="AP44" s="742"/>
      <c r="AQ44" s="742"/>
      <c r="AR44" s="742"/>
      <c r="AS44" s="742"/>
      <c r="AT44" s="755"/>
      <c r="AU44" s="334"/>
      <c r="AV44" s="334"/>
      <c r="AW44" s="334"/>
      <c r="AX44" s="334"/>
      <c r="AY44" s="334"/>
      <c r="AZ44" s="334"/>
      <c r="BA44" s="334"/>
      <c r="BB44" s="334"/>
      <c r="BC44" s="334"/>
      <c r="BD44" s="334"/>
      <c r="BE44" s="334"/>
      <c r="BF44" s="334"/>
      <c r="BG44" s="334"/>
      <c r="BH44" s="334"/>
      <c r="BI44" s="334"/>
    </row>
    <row r="45" spans="1:61" ht="15.75" customHeight="1" thickBot="1" x14ac:dyDescent="0.3">
      <c r="A45" s="334"/>
      <c r="B45" s="749"/>
      <c r="C45" s="742"/>
      <c r="D45" s="743"/>
      <c r="E45" s="744"/>
      <c r="F45" s="745"/>
      <c r="G45" s="745"/>
      <c r="H45" s="745"/>
      <c r="I45" s="745"/>
      <c r="J45" s="368" t="s">
        <v>18</v>
      </c>
      <c r="K45" s="369" t="s">
        <v>18</v>
      </c>
      <c r="L45" s="369" t="s">
        <v>18</v>
      </c>
      <c r="M45" s="369" t="s">
        <v>18</v>
      </c>
      <c r="N45" s="369" t="s">
        <v>18</v>
      </c>
      <c r="O45" s="370" t="s">
        <v>18</v>
      </c>
      <c r="P45" s="356" t="s">
        <v>18</v>
      </c>
      <c r="Q45" s="357" t="s">
        <v>18</v>
      </c>
      <c r="R45" s="357" t="s">
        <v>18</v>
      </c>
      <c r="S45" s="357" t="s">
        <v>18</v>
      </c>
      <c r="T45" s="357" t="s">
        <v>18</v>
      </c>
      <c r="U45" s="358" t="s">
        <v>18</v>
      </c>
      <c r="V45" s="359" t="s">
        <v>18</v>
      </c>
      <c r="W45" s="360" t="s">
        <v>18</v>
      </c>
      <c r="X45" s="360" t="s">
        <v>18</v>
      </c>
      <c r="Y45" s="360" t="s">
        <v>18</v>
      </c>
      <c r="Z45" s="360" t="s">
        <v>18</v>
      </c>
      <c r="AA45" s="361" t="s">
        <v>18</v>
      </c>
      <c r="AB45" s="347" t="s">
        <v>18</v>
      </c>
      <c r="AC45" s="348" t="s">
        <v>18</v>
      </c>
      <c r="AD45" s="348" t="s">
        <v>18</v>
      </c>
      <c r="AE45" s="348" t="s">
        <v>18</v>
      </c>
      <c r="AF45" s="348" t="s">
        <v>18</v>
      </c>
      <c r="AG45" s="349" t="s">
        <v>18</v>
      </c>
      <c r="AH45" s="350" t="s">
        <v>18</v>
      </c>
      <c r="AI45" s="351" t="s">
        <v>18</v>
      </c>
      <c r="AJ45" s="351" t="s">
        <v>18</v>
      </c>
      <c r="AK45" s="351" t="s">
        <v>18</v>
      </c>
      <c r="AL45" s="351" t="s">
        <v>18</v>
      </c>
      <c r="AM45" s="352" t="s">
        <v>18</v>
      </c>
      <c r="AN45" s="334"/>
      <c r="AO45" s="756"/>
      <c r="AP45" s="757"/>
      <c r="AQ45" s="757"/>
      <c r="AR45" s="757"/>
      <c r="AS45" s="757"/>
      <c r="AT45" s="758"/>
    </row>
    <row r="46" spans="1:61" ht="46.5" customHeight="1" x14ac:dyDescent="0.35">
      <c r="A46" s="334"/>
      <c r="B46" s="749"/>
      <c r="C46" s="742"/>
      <c r="D46" s="743"/>
      <c r="E46" s="738" t="s">
        <v>11</v>
      </c>
      <c r="F46" s="739"/>
      <c r="G46" s="739"/>
      <c r="H46" s="739"/>
      <c r="I46" s="740"/>
      <c r="J46" s="362" t="s">
        <v>18</v>
      </c>
      <c r="K46" s="363" t="s">
        <v>18</v>
      </c>
      <c r="L46" s="363" t="s">
        <v>18</v>
      </c>
      <c r="M46" s="363" t="s">
        <v>18</v>
      </c>
      <c r="N46" s="363" t="s">
        <v>18</v>
      </c>
      <c r="O46" s="364" t="s">
        <v>18</v>
      </c>
      <c r="P46" s="362" t="s">
        <v>18</v>
      </c>
      <c r="Q46" s="363" t="s">
        <v>18</v>
      </c>
      <c r="R46" s="363" t="s">
        <v>18</v>
      </c>
      <c r="S46" s="363" t="s">
        <v>18</v>
      </c>
      <c r="T46" s="363" t="s">
        <v>18</v>
      </c>
      <c r="U46" s="364" t="s">
        <v>18</v>
      </c>
      <c r="V46" s="353" t="s">
        <v>18</v>
      </c>
      <c r="W46" s="371" t="s">
        <v>18</v>
      </c>
      <c r="X46" s="354" t="s">
        <v>18</v>
      </c>
      <c r="Y46" s="354" t="s">
        <v>18</v>
      </c>
      <c r="Z46" s="354" t="s">
        <v>18</v>
      </c>
      <c r="AA46" s="355" t="s">
        <v>18</v>
      </c>
      <c r="AB46" s="335" t="s">
        <v>18</v>
      </c>
      <c r="AC46" s="336" t="s">
        <v>18</v>
      </c>
      <c r="AD46" s="336" t="s">
        <v>18</v>
      </c>
      <c r="AE46" s="336" t="s">
        <v>18</v>
      </c>
      <c r="AF46" s="336" t="s">
        <v>18</v>
      </c>
      <c r="AG46" s="337" t="s">
        <v>18</v>
      </c>
      <c r="AH46" s="338" t="s">
        <v>18</v>
      </c>
      <c r="AI46" s="339" t="s">
        <v>18</v>
      </c>
      <c r="AJ46" s="339" t="s">
        <v>18</v>
      </c>
      <c r="AK46" s="339" t="s">
        <v>18</v>
      </c>
      <c r="AL46" s="339" t="s">
        <v>18</v>
      </c>
      <c r="AM46" s="340" t="s">
        <v>18</v>
      </c>
      <c r="AN46" s="334"/>
      <c r="AO46" s="334"/>
      <c r="AP46" s="334"/>
      <c r="AQ46" s="334"/>
      <c r="AR46" s="334"/>
      <c r="AS46" s="334"/>
      <c r="AT46" s="334"/>
      <c r="AU46" s="334"/>
      <c r="AV46" s="334"/>
      <c r="AW46" s="334"/>
      <c r="AX46" s="334"/>
      <c r="AY46" s="334"/>
      <c r="AZ46" s="334"/>
      <c r="BA46" s="334"/>
      <c r="BB46" s="334"/>
      <c r="BC46" s="334"/>
      <c r="BD46" s="334"/>
      <c r="BE46" s="334"/>
      <c r="BF46" s="334"/>
      <c r="BG46" s="334"/>
      <c r="BH46" s="334"/>
      <c r="BI46" s="334"/>
    </row>
    <row r="47" spans="1:61" ht="46.5" customHeight="1" x14ac:dyDescent="0.25">
      <c r="A47" s="334"/>
      <c r="B47" s="749"/>
      <c r="C47" s="742"/>
      <c r="D47" s="743"/>
      <c r="E47" s="741"/>
      <c r="F47" s="742"/>
      <c r="G47" s="742"/>
      <c r="H47" s="742"/>
      <c r="I47" s="743"/>
      <c r="J47" s="365" t="s">
        <v>18</v>
      </c>
      <c r="K47" s="366" t="s">
        <v>18</v>
      </c>
      <c r="L47" s="366" t="s">
        <v>18</v>
      </c>
      <c r="M47" s="366" t="s">
        <v>18</v>
      </c>
      <c r="N47" s="366" t="s">
        <v>18</v>
      </c>
      <c r="O47" s="367" t="s">
        <v>18</v>
      </c>
      <c r="P47" s="365" t="s">
        <v>18</v>
      </c>
      <c r="Q47" s="366" t="s">
        <v>18</v>
      </c>
      <c r="R47" s="366" t="s">
        <v>18</v>
      </c>
      <c r="S47" s="366" t="s">
        <v>18</v>
      </c>
      <c r="T47" s="366" t="s">
        <v>18</v>
      </c>
      <c r="U47" s="367" t="s">
        <v>18</v>
      </c>
      <c r="V47" s="356" t="s">
        <v>18</v>
      </c>
      <c r="W47" s="357" t="s">
        <v>18</v>
      </c>
      <c r="X47" s="357" t="s">
        <v>18</v>
      </c>
      <c r="Y47" s="357" t="s">
        <v>18</v>
      </c>
      <c r="Z47" s="357" t="s">
        <v>18</v>
      </c>
      <c r="AA47" s="358" t="s">
        <v>18</v>
      </c>
      <c r="AB47" s="341" t="s">
        <v>18</v>
      </c>
      <c r="AC47" s="342" t="s">
        <v>18</v>
      </c>
      <c r="AD47" s="342" t="s">
        <v>18</v>
      </c>
      <c r="AE47" s="342" t="s">
        <v>18</v>
      </c>
      <c r="AF47" s="342" t="s">
        <v>18</v>
      </c>
      <c r="AG47" s="343" t="s">
        <v>18</v>
      </c>
      <c r="AH47" s="344" t="s">
        <v>18</v>
      </c>
      <c r="AI47" s="345" t="s">
        <v>18</v>
      </c>
      <c r="AJ47" s="345" t="s">
        <v>18</v>
      </c>
      <c r="AK47" s="345" t="s">
        <v>18</v>
      </c>
      <c r="AL47" s="345" t="s">
        <v>18</v>
      </c>
      <c r="AM47" s="346" t="s">
        <v>18</v>
      </c>
      <c r="AN47" s="334"/>
      <c r="AO47" s="334"/>
      <c r="AP47" s="334"/>
      <c r="AQ47" s="334"/>
      <c r="AR47" s="334"/>
      <c r="AS47" s="334"/>
      <c r="AT47" s="334"/>
      <c r="AU47" s="334"/>
      <c r="AV47" s="334"/>
      <c r="AW47" s="334"/>
      <c r="AX47" s="334"/>
      <c r="AY47" s="334"/>
      <c r="AZ47" s="334"/>
      <c r="BA47" s="334"/>
      <c r="BB47" s="334"/>
      <c r="BC47" s="334"/>
      <c r="BD47" s="334"/>
      <c r="BE47" s="334"/>
      <c r="BF47" s="334"/>
      <c r="BG47" s="334"/>
      <c r="BH47" s="334"/>
      <c r="BI47" s="334"/>
    </row>
    <row r="48" spans="1:61" ht="15" customHeight="1" x14ac:dyDescent="0.25">
      <c r="A48" s="334"/>
      <c r="B48" s="749"/>
      <c r="C48" s="742"/>
      <c r="D48" s="743"/>
      <c r="E48" s="741"/>
      <c r="F48" s="742"/>
      <c r="G48" s="742"/>
      <c r="H48" s="742"/>
      <c r="I48" s="743"/>
      <c r="J48" s="365" t="s">
        <v>18</v>
      </c>
      <c r="K48" s="366" t="s">
        <v>18</v>
      </c>
      <c r="L48" s="366" t="s">
        <v>18</v>
      </c>
      <c r="M48" s="366" t="s">
        <v>18</v>
      </c>
      <c r="N48" s="366" t="s">
        <v>18</v>
      </c>
      <c r="O48" s="367" t="s">
        <v>18</v>
      </c>
      <c r="P48" s="365" t="s">
        <v>18</v>
      </c>
      <c r="Q48" s="366" t="s">
        <v>18</v>
      </c>
      <c r="R48" s="366" t="s">
        <v>18</v>
      </c>
      <c r="S48" s="366" t="s">
        <v>18</v>
      </c>
      <c r="T48" s="366" t="s">
        <v>18</v>
      </c>
      <c r="U48" s="367" t="s">
        <v>18</v>
      </c>
      <c r="V48" s="356" t="s">
        <v>18</v>
      </c>
      <c r="W48" s="357" t="s">
        <v>18</v>
      </c>
      <c r="X48" s="357" t="s">
        <v>18</v>
      </c>
      <c r="Y48" s="357" t="s">
        <v>18</v>
      </c>
      <c r="Z48" s="357" t="s">
        <v>18</v>
      </c>
      <c r="AA48" s="358" t="s">
        <v>18</v>
      </c>
      <c r="AB48" s="341" t="s">
        <v>18</v>
      </c>
      <c r="AC48" s="342" t="s">
        <v>18</v>
      </c>
      <c r="AD48" s="342" t="s">
        <v>18</v>
      </c>
      <c r="AE48" s="342" t="s">
        <v>18</v>
      </c>
      <c r="AF48" s="342" t="s">
        <v>18</v>
      </c>
      <c r="AG48" s="343" t="s">
        <v>18</v>
      </c>
      <c r="AH48" s="344" t="s">
        <v>18</v>
      </c>
      <c r="AI48" s="345" t="s">
        <v>18</v>
      </c>
      <c r="AJ48" s="345" t="s">
        <v>18</v>
      </c>
      <c r="AK48" s="345" t="s">
        <v>18</v>
      </c>
      <c r="AL48" s="345" t="s">
        <v>18</v>
      </c>
      <c r="AM48" s="346" t="s">
        <v>18</v>
      </c>
      <c r="AN48" s="334"/>
      <c r="AO48" s="334"/>
      <c r="AP48" s="334"/>
      <c r="AQ48" s="334"/>
      <c r="AR48" s="334"/>
      <c r="AS48" s="334"/>
      <c r="AT48" s="334"/>
      <c r="AU48" s="334"/>
      <c r="AV48" s="334"/>
      <c r="AW48" s="334"/>
      <c r="AX48" s="334"/>
      <c r="AY48" s="334"/>
      <c r="AZ48" s="334"/>
      <c r="BA48" s="334"/>
      <c r="BB48" s="334"/>
      <c r="BC48" s="334"/>
      <c r="BD48" s="334"/>
      <c r="BE48" s="334"/>
      <c r="BF48" s="334"/>
      <c r="BG48" s="334"/>
      <c r="BH48" s="334"/>
      <c r="BI48" s="334"/>
    </row>
    <row r="49" spans="1:61" ht="15" customHeight="1" x14ac:dyDescent="0.25">
      <c r="A49" s="334"/>
      <c r="B49" s="749"/>
      <c r="C49" s="742"/>
      <c r="D49" s="743"/>
      <c r="E49" s="741"/>
      <c r="F49" s="742"/>
      <c r="G49" s="742"/>
      <c r="H49" s="742"/>
      <c r="I49" s="743"/>
      <c r="J49" s="365" t="s">
        <v>18</v>
      </c>
      <c r="K49" s="366" t="s">
        <v>18</v>
      </c>
      <c r="L49" s="366" t="s">
        <v>18</v>
      </c>
      <c r="M49" s="366" t="s">
        <v>18</v>
      </c>
      <c r="N49" s="366" t="s">
        <v>18</v>
      </c>
      <c r="O49" s="367" t="s">
        <v>18</v>
      </c>
      <c r="P49" s="365" t="s">
        <v>18</v>
      </c>
      <c r="Q49" s="366" t="s">
        <v>18</v>
      </c>
      <c r="R49" s="366" t="s">
        <v>18</v>
      </c>
      <c r="S49" s="366" t="s">
        <v>18</v>
      </c>
      <c r="T49" s="366" t="s">
        <v>18</v>
      </c>
      <c r="U49" s="367" t="s">
        <v>18</v>
      </c>
      <c r="V49" s="356" t="s">
        <v>18</v>
      </c>
      <c r="W49" s="357" t="s">
        <v>18</v>
      </c>
      <c r="X49" s="357" t="s">
        <v>18</v>
      </c>
      <c r="Y49" s="357" t="s">
        <v>18</v>
      </c>
      <c r="Z49" s="357" t="s">
        <v>18</v>
      </c>
      <c r="AA49" s="358" t="s">
        <v>18</v>
      </c>
      <c r="AB49" s="341" t="s">
        <v>18</v>
      </c>
      <c r="AC49" s="342" t="s">
        <v>18</v>
      </c>
      <c r="AD49" s="342" t="s">
        <v>18</v>
      </c>
      <c r="AE49" s="342" t="s">
        <v>18</v>
      </c>
      <c r="AF49" s="342" t="s">
        <v>18</v>
      </c>
      <c r="AG49" s="343" t="s">
        <v>18</v>
      </c>
      <c r="AH49" s="344" t="s">
        <v>18</v>
      </c>
      <c r="AI49" s="345" t="s">
        <v>18</v>
      </c>
      <c r="AJ49" s="345" t="s">
        <v>18</v>
      </c>
      <c r="AK49" s="345" t="s">
        <v>18</v>
      </c>
      <c r="AL49" s="345" t="s">
        <v>18</v>
      </c>
      <c r="AM49" s="346" t="s">
        <v>18</v>
      </c>
      <c r="AN49" s="334"/>
      <c r="AO49" s="334"/>
      <c r="AP49" s="334"/>
      <c r="AQ49" s="334"/>
      <c r="AR49" s="334"/>
      <c r="AS49" s="334"/>
      <c r="AT49" s="334"/>
      <c r="AU49" s="334"/>
      <c r="AV49" s="334"/>
      <c r="AW49" s="334"/>
      <c r="AX49" s="334"/>
      <c r="AY49" s="334"/>
      <c r="AZ49" s="334"/>
      <c r="BA49" s="334"/>
      <c r="BB49" s="334"/>
      <c r="BC49" s="334"/>
      <c r="BD49" s="334"/>
      <c r="BE49" s="334"/>
      <c r="BF49" s="334"/>
      <c r="BG49" s="334"/>
      <c r="BH49" s="334"/>
      <c r="BI49" s="334"/>
    </row>
    <row r="50" spans="1:61" ht="15" customHeight="1" x14ac:dyDescent="0.25">
      <c r="A50" s="334"/>
      <c r="B50" s="749"/>
      <c r="C50" s="742"/>
      <c r="D50" s="743"/>
      <c r="E50" s="741"/>
      <c r="F50" s="742"/>
      <c r="G50" s="742"/>
      <c r="H50" s="742"/>
      <c r="I50" s="743"/>
      <c r="J50" s="365" t="s">
        <v>18</v>
      </c>
      <c r="K50" s="366" t="s">
        <v>18</v>
      </c>
      <c r="L50" s="366" t="s">
        <v>18</v>
      </c>
      <c r="M50" s="366" t="s">
        <v>18</v>
      </c>
      <c r="N50" s="366" t="s">
        <v>18</v>
      </c>
      <c r="O50" s="367" t="s">
        <v>18</v>
      </c>
      <c r="P50" s="365" t="s">
        <v>18</v>
      </c>
      <c r="Q50" s="366" t="s">
        <v>18</v>
      </c>
      <c r="R50" s="366" t="s">
        <v>18</v>
      </c>
      <c r="S50" s="366" t="s">
        <v>18</v>
      </c>
      <c r="T50" s="366" t="s">
        <v>18</v>
      </c>
      <c r="U50" s="367" t="s">
        <v>18</v>
      </c>
      <c r="V50" s="356" t="s">
        <v>18</v>
      </c>
      <c r="W50" s="357" t="s">
        <v>18</v>
      </c>
      <c r="X50" s="357" t="s">
        <v>18</v>
      </c>
      <c r="Y50" s="357" t="s">
        <v>18</v>
      </c>
      <c r="Z50" s="357" t="s">
        <v>18</v>
      </c>
      <c r="AA50" s="358" t="s">
        <v>18</v>
      </c>
      <c r="AB50" s="341" t="s">
        <v>18</v>
      </c>
      <c r="AC50" s="342" t="s">
        <v>18</v>
      </c>
      <c r="AD50" s="342" t="s">
        <v>18</v>
      </c>
      <c r="AE50" s="342" t="s">
        <v>18</v>
      </c>
      <c r="AF50" s="342" t="s">
        <v>18</v>
      </c>
      <c r="AG50" s="343" t="s">
        <v>18</v>
      </c>
      <c r="AH50" s="344" t="s">
        <v>18</v>
      </c>
      <c r="AI50" s="345" t="s">
        <v>18</v>
      </c>
      <c r="AJ50" s="345" t="s">
        <v>18</v>
      </c>
      <c r="AK50" s="345" t="s">
        <v>18</v>
      </c>
      <c r="AL50" s="345" t="s">
        <v>18</v>
      </c>
      <c r="AM50" s="346" t="s">
        <v>18</v>
      </c>
      <c r="AN50" s="334"/>
      <c r="AO50" s="334"/>
      <c r="AP50" s="334"/>
      <c r="AQ50" s="334"/>
      <c r="AR50" s="334"/>
      <c r="AS50" s="334"/>
      <c r="AT50" s="334"/>
      <c r="AU50" s="334"/>
      <c r="AV50" s="334"/>
      <c r="AW50" s="334"/>
      <c r="AX50" s="334"/>
      <c r="AY50" s="334"/>
      <c r="AZ50" s="334"/>
      <c r="BA50" s="334"/>
      <c r="BB50" s="334"/>
      <c r="BC50" s="334"/>
      <c r="BD50" s="334"/>
      <c r="BE50" s="334"/>
      <c r="BF50" s="334"/>
      <c r="BG50" s="334"/>
      <c r="BH50" s="334"/>
      <c r="BI50" s="334"/>
    </row>
    <row r="51" spans="1:61" ht="15" customHeight="1" x14ac:dyDescent="0.25">
      <c r="A51" s="334"/>
      <c r="B51" s="749"/>
      <c r="C51" s="742"/>
      <c r="D51" s="743"/>
      <c r="E51" s="741"/>
      <c r="F51" s="742"/>
      <c r="G51" s="742"/>
      <c r="H51" s="742"/>
      <c r="I51" s="743"/>
      <c r="J51" s="365" t="s">
        <v>18</v>
      </c>
      <c r="K51" s="366" t="s">
        <v>18</v>
      </c>
      <c r="L51" s="366" t="s">
        <v>18</v>
      </c>
      <c r="M51" s="366" t="s">
        <v>18</v>
      </c>
      <c r="N51" s="366" t="s">
        <v>18</v>
      </c>
      <c r="O51" s="367" t="s">
        <v>18</v>
      </c>
      <c r="P51" s="365" t="s">
        <v>18</v>
      </c>
      <c r="Q51" s="366" t="s">
        <v>18</v>
      </c>
      <c r="R51" s="366" t="s">
        <v>18</v>
      </c>
      <c r="S51" s="366" t="s">
        <v>18</v>
      </c>
      <c r="T51" s="366" t="s">
        <v>18</v>
      </c>
      <c r="U51" s="367" t="s">
        <v>18</v>
      </c>
      <c r="V51" s="356" t="s">
        <v>18</v>
      </c>
      <c r="W51" s="357" t="s">
        <v>18</v>
      </c>
      <c r="X51" s="357" t="s">
        <v>18</v>
      </c>
      <c r="Y51" s="357" t="s">
        <v>18</v>
      </c>
      <c r="Z51" s="357" t="s">
        <v>18</v>
      </c>
      <c r="AA51" s="358" t="s">
        <v>18</v>
      </c>
      <c r="AB51" s="341" t="s">
        <v>18</v>
      </c>
      <c r="AC51" s="342" t="s">
        <v>18</v>
      </c>
      <c r="AD51" s="342" t="s">
        <v>18</v>
      </c>
      <c r="AE51" s="342" t="s">
        <v>18</v>
      </c>
      <c r="AF51" s="342" t="s">
        <v>18</v>
      </c>
      <c r="AG51" s="343" t="s">
        <v>18</v>
      </c>
      <c r="AH51" s="344" t="s">
        <v>18</v>
      </c>
      <c r="AI51" s="345" t="s">
        <v>18</v>
      </c>
      <c r="AJ51" s="345" t="s">
        <v>18</v>
      </c>
      <c r="AK51" s="345" t="s">
        <v>18</v>
      </c>
      <c r="AL51" s="345" t="s">
        <v>18</v>
      </c>
      <c r="AM51" s="346" t="s">
        <v>18</v>
      </c>
      <c r="AN51" s="334"/>
      <c r="AO51" s="334"/>
      <c r="AP51" s="334"/>
      <c r="AQ51" s="334"/>
      <c r="AR51" s="334"/>
      <c r="AS51" s="334"/>
      <c r="AT51" s="334"/>
      <c r="AU51" s="334"/>
      <c r="AV51" s="334"/>
      <c r="AW51" s="334"/>
      <c r="AX51" s="334"/>
      <c r="AY51" s="334"/>
      <c r="AZ51" s="334"/>
      <c r="BA51" s="334"/>
      <c r="BB51" s="334"/>
      <c r="BC51" s="334"/>
      <c r="BD51" s="334"/>
      <c r="BE51" s="334"/>
      <c r="BF51" s="334"/>
      <c r="BG51" s="334"/>
      <c r="BH51" s="334"/>
      <c r="BI51" s="334"/>
    </row>
    <row r="52" spans="1:61" ht="15" customHeight="1" x14ac:dyDescent="0.25">
      <c r="A52" s="334"/>
      <c r="B52" s="749"/>
      <c r="C52" s="742"/>
      <c r="D52" s="743"/>
      <c r="E52" s="741"/>
      <c r="F52" s="742"/>
      <c r="G52" s="742"/>
      <c r="H52" s="742"/>
      <c r="I52" s="743"/>
      <c r="J52" s="365" t="s">
        <v>18</v>
      </c>
      <c r="K52" s="366" t="s">
        <v>18</v>
      </c>
      <c r="L52" s="366" t="s">
        <v>18</v>
      </c>
      <c r="M52" s="366" t="s">
        <v>18</v>
      </c>
      <c r="N52" s="366" t="s">
        <v>18</v>
      </c>
      <c r="O52" s="367" t="s">
        <v>18</v>
      </c>
      <c r="P52" s="365" t="s">
        <v>18</v>
      </c>
      <c r="Q52" s="366" t="s">
        <v>18</v>
      </c>
      <c r="R52" s="366" t="s">
        <v>18</v>
      </c>
      <c r="S52" s="366" t="s">
        <v>18</v>
      </c>
      <c r="T52" s="366" t="s">
        <v>18</v>
      </c>
      <c r="U52" s="367" t="s">
        <v>18</v>
      </c>
      <c r="V52" s="356" t="s">
        <v>18</v>
      </c>
      <c r="W52" s="357" t="s">
        <v>18</v>
      </c>
      <c r="X52" s="357" t="s">
        <v>18</v>
      </c>
      <c r="Y52" s="357" t="s">
        <v>18</v>
      </c>
      <c r="Z52" s="357" t="s">
        <v>18</v>
      </c>
      <c r="AA52" s="358" t="s">
        <v>18</v>
      </c>
      <c r="AB52" s="341" t="s">
        <v>18</v>
      </c>
      <c r="AC52" s="342" t="s">
        <v>18</v>
      </c>
      <c r="AD52" s="342" t="s">
        <v>18</v>
      </c>
      <c r="AE52" s="342" t="s">
        <v>18</v>
      </c>
      <c r="AF52" s="342" t="s">
        <v>18</v>
      </c>
      <c r="AG52" s="343" t="s">
        <v>18</v>
      </c>
      <c r="AH52" s="344" t="s">
        <v>18</v>
      </c>
      <c r="AI52" s="345" t="s">
        <v>18</v>
      </c>
      <c r="AJ52" s="345" t="s">
        <v>18</v>
      </c>
      <c r="AK52" s="345" t="s">
        <v>18</v>
      </c>
      <c r="AL52" s="345" t="s">
        <v>18</v>
      </c>
      <c r="AM52" s="346" t="s">
        <v>18</v>
      </c>
      <c r="AN52" s="334"/>
      <c r="AO52" s="334"/>
      <c r="AP52" s="334"/>
      <c r="AQ52" s="334"/>
      <c r="AR52" s="334"/>
      <c r="AS52" s="334"/>
      <c r="AT52" s="334"/>
      <c r="AU52" s="334"/>
      <c r="AV52" s="334"/>
      <c r="AW52" s="334"/>
      <c r="AX52" s="334"/>
      <c r="AY52" s="334"/>
      <c r="AZ52" s="334"/>
      <c r="BA52" s="334"/>
      <c r="BB52" s="334"/>
      <c r="BC52" s="334"/>
      <c r="BD52" s="334"/>
      <c r="BE52" s="334"/>
      <c r="BF52" s="334"/>
      <c r="BG52" s="334"/>
      <c r="BH52" s="334"/>
      <c r="BI52" s="334"/>
    </row>
    <row r="53" spans="1:61" ht="15" customHeight="1" x14ac:dyDescent="0.25">
      <c r="A53" s="334"/>
      <c r="B53" s="749"/>
      <c r="C53" s="742"/>
      <c r="D53" s="743"/>
      <c r="E53" s="741"/>
      <c r="F53" s="742"/>
      <c r="G53" s="742"/>
      <c r="H53" s="742"/>
      <c r="I53" s="743"/>
      <c r="J53" s="365" t="s">
        <v>18</v>
      </c>
      <c r="K53" s="366" t="s">
        <v>18</v>
      </c>
      <c r="L53" s="366" t="s">
        <v>18</v>
      </c>
      <c r="M53" s="366" t="s">
        <v>18</v>
      </c>
      <c r="N53" s="366" t="s">
        <v>18</v>
      </c>
      <c r="O53" s="367" t="s">
        <v>18</v>
      </c>
      <c r="P53" s="365" t="s">
        <v>18</v>
      </c>
      <c r="Q53" s="366" t="s">
        <v>18</v>
      </c>
      <c r="R53" s="366" t="s">
        <v>18</v>
      </c>
      <c r="S53" s="366" t="s">
        <v>18</v>
      </c>
      <c r="T53" s="366" t="s">
        <v>18</v>
      </c>
      <c r="U53" s="367" t="s">
        <v>18</v>
      </c>
      <c r="V53" s="356" t="s">
        <v>18</v>
      </c>
      <c r="W53" s="357" t="s">
        <v>18</v>
      </c>
      <c r="X53" s="357" t="s">
        <v>18</v>
      </c>
      <c r="Y53" s="357" t="s">
        <v>18</v>
      </c>
      <c r="Z53" s="357" t="s">
        <v>18</v>
      </c>
      <c r="AA53" s="358" t="s">
        <v>18</v>
      </c>
      <c r="AB53" s="341" t="s">
        <v>18</v>
      </c>
      <c r="AC53" s="342" t="s">
        <v>18</v>
      </c>
      <c r="AD53" s="342" t="s">
        <v>18</v>
      </c>
      <c r="AE53" s="342" t="s">
        <v>18</v>
      </c>
      <c r="AF53" s="342" t="s">
        <v>18</v>
      </c>
      <c r="AG53" s="343" t="s">
        <v>18</v>
      </c>
      <c r="AH53" s="344" t="s">
        <v>18</v>
      </c>
      <c r="AI53" s="345" t="s">
        <v>18</v>
      </c>
      <c r="AJ53" s="345" t="s">
        <v>18</v>
      </c>
      <c r="AK53" s="345" t="s">
        <v>18</v>
      </c>
      <c r="AL53" s="345" t="s">
        <v>18</v>
      </c>
      <c r="AM53" s="346" t="s">
        <v>18</v>
      </c>
      <c r="AN53" s="334"/>
      <c r="AO53" s="334"/>
      <c r="AP53" s="334"/>
      <c r="AQ53" s="334"/>
      <c r="AR53" s="334"/>
      <c r="AS53" s="334"/>
      <c r="AT53" s="334"/>
      <c r="AU53" s="334"/>
      <c r="AV53" s="334"/>
      <c r="AW53" s="334"/>
      <c r="AX53" s="334"/>
      <c r="AY53" s="334"/>
      <c r="AZ53" s="334"/>
      <c r="BA53" s="334"/>
      <c r="BB53" s="334"/>
      <c r="BC53" s="334"/>
      <c r="BD53" s="334"/>
      <c r="BE53" s="334"/>
      <c r="BF53" s="334"/>
      <c r="BG53" s="334"/>
      <c r="BH53" s="334"/>
      <c r="BI53" s="334"/>
    </row>
    <row r="54" spans="1:61" ht="15" customHeight="1" x14ac:dyDescent="0.25">
      <c r="A54" s="334"/>
      <c r="B54" s="749"/>
      <c r="C54" s="742"/>
      <c r="D54" s="743"/>
      <c r="E54" s="741"/>
      <c r="F54" s="742"/>
      <c r="G54" s="742"/>
      <c r="H54" s="742"/>
      <c r="I54" s="743"/>
      <c r="J54" s="365" t="s">
        <v>18</v>
      </c>
      <c r="K54" s="366" t="s">
        <v>18</v>
      </c>
      <c r="L54" s="366" t="s">
        <v>18</v>
      </c>
      <c r="M54" s="366" t="s">
        <v>18</v>
      </c>
      <c r="N54" s="366" t="s">
        <v>18</v>
      </c>
      <c r="O54" s="367" t="s">
        <v>18</v>
      </c>
      <c r="P54" s="365" t="s">
        <v>18</v>
      </c>
      <c r="Q54" s="366" t="s">
        <v>18</v>
      </c>
      <c r="R54" s="366" t="s">
        <v>18</v>
      </c>
      <c r="S54" s="366" t="s">
        <v>18</v>
      </c>
      <c r="T54" s="366" t="s">
        <v>18</v>
      </c>
      <c r="U54" s="367" t="s">
        <v>18</v>
      </c>
      <c r="V54" s="356" t="s">
        <v>18</v>
      </c>
      <c r="W54" s="357" t="s">
        <v>18</v>
      </c>
      <c r="X54" s="357" t="s">
        <v>18</v>
      </c>
      <c r="Y54" s="357" t="s">
        <v>18</v>
      </c>
      <c r="Z54" s="357" t="s">
        <v>18</v>
      </c>
      <c r="AA54" s="358" t="s">
        <v>18</v>
      </c>
      <c r="AB54" s="341" t="s">
        <v>18</v>
      </c>
      <c r="AC54" s="342" t="s">
        <v>18</v>
      </c>
      <c r="AD54" s="342" t="s">
        <v>18</v>
      </c>
      <c r="AE54" s="342" t="s">
        <v>18</v>
      </c>
      <c r="AF54" s="342" t="s">
        <v>18</v>
      </c>
      <c r="AG54" s="343" t="s">
        <v>18</v>
      </c>
      <c r="AH54" s="344" t="s">
        <v>18</v>
      </c>
      <c r="AI54" s="345" t="s">
        <v>18</v>
      </c>
      <c r="AJ54" s="345" t="s">
        <v>18</v>
      </c>
      <c r="AK54" s="345" t="s">
        <v>18</v>
      </c>
      <c r="AL54" s="345" t="s">
        <v>18</v>
      </c>
      <c r="AM54" s="346" t="s">
        <v>18</v>
      </c>
      <c r="AN54" s="334"/>
      <c r="AO54" s="334"/>
      <c r="AP54" s="334"/>
      <c r="AQ54" s="334"/>
      <c r="AR54" s="334"/>
      <c r="AS54" s="334"/>
      <c r="AT54" s="334"/>
      <c r="AU54" s="334"/>
      <c r="AV54" s="334"/>
      <c r="AW54" s="334"/>
      <c r="AX54" s="334"/>
      <c r="AY54" s="334"/>
      <c r="AZ54" s="334"/>
      <c r="BA54" s="334"/>
      <c r="BB54" s="334"/>
      <c r="BC54" s="334"/>
      <c r="BD54" s="334"/>
      <c r="BE54" s="334"/>
      <c r="BF54" s="334"/>
      <c r="BG54" s="334"/>
      <c r="BH54" s="334"/>
      <c r="BI54" s="334"/>
    </row>
    <row r="55" spans="1:61" ht="15.75" customHeight="1" thickBot="1" x14ac:dyDescent="0.3">
      <c r="A55" s="334"/>
      <c r="B55" s="749"/>
      <c r="C55" s="749"/>
      <c r="D55" s="743"/>
      <c r="E55" s="744"/>
      <c r="F55" s="745"/>
      <c r="G55" s="745"/>
      <c r="H55" s="745"/>
      <c r="I55" s="746"/>
      <c r="J55" s="368" t="s">
        <v>18</v>
      </c>
      <c r="K55" s="369" t="s">
        <v>18</v>
      </c>
      <c r="L55" s="369" t="s">
        <v>18</v>
      </c>
      <c r="M55" s="369" t="s">
        <v>18</v>
      </c>
      <c r="N55" s="369" t="s">
        <v>18</v>
      </c>
      <c r="O55" s="370" t="s">
        <v>18</v>
      </c>
      <c r="P55" s="368" t="s">
        <v>18</v>
      </c>
      <c r="Q55" s="369" t="s">
        <v>18</v>
      </c>
      <c r="R55" s="369" t="s">
        <v>18</v>
      </c>
      <c r="S55" s="369" t="s">
        <v>18</v>
      </c>
      <c r="T55" s="369" t="s">
        <v>18</v>
      </c>
      <c r="U55" s="370" t="s">
        <v>18</v>
      </c>
      <c r="V55" s="359" t="s">
        <v>18</v>
      </c>
      <c r="W55" s="360" t="s">
        <v>18</v>
      </c>
      <c r="X55" s="360" t="s">
        <v>18</v>
      </c>
      <c r="Y55" s="360" t="s">
        <v>18</v>
      </c>
      <c r="Z55" s="360" t="s">
        <v>18</v>
      </c>
      <c r="AA55" s="361" t="s">
        <v>18</v>
      </c>
      <c r="AB55" s="347" t="s">
        <v>18</v>
      </c>
      <c r="AC55" s="348" t="s">
        <v>18</v>
      </c>
      <c r="AD55" s="348" t="s">
        <v>18</v>
      </c>
      <c r="AE55" s="348" t="s">
        <v>18</v>
      </c>
      <c r="AF55" s="348" t="s">
        <v>18</v>
      </c>
      <c r="AG55" s="349" t="s">
        <v>18</v>
      </c>
      <c r="AH55" s="350" t="s">
        <v>18</v>
      </c>
      <c r="AI55" s="351" t="s">
        <v>18</v>
      </c>
      <c r="AJ55" s="351" t="s">
        <v>18</v>
      </c>
      <c r="AK55" s="351" t="s">
        <v>18</v>
      </c>
      <c r="AL55" s="351" t="s">
        <v>18</v>
      </c>
      <c r="AM55" s="352" t="s">
        <v>18</v>
      </c>
      <c r="AN55" s="334"/>
      <c r="AO55" s="334"/>
      <c r="AP55" s="334"/>
      <c r="AQ55" s="334"/>
      <c r="AR55" s="334"/>
      <c r="AS55" s="334"/>
      <c r="AT55" s="334"/>
      <c r="AU55" s="334"/>
      <c r="AV55" s="334"/>
      <c r="AW55" s="334"/>
      <c r="AX55" s="334"/>
      <c r="AY55" s="334"/>
      <c r="AZ55" s="334"/>
      <c r="BA55" s="334"/>
      <c r="BB55" s="334"/>
      <c r="BC55" s="334"/>
      <c r="BD55" s="334"/>
      <c r="BE55" s="334"/>
      <c r="BF55" s="334"/>
      <c r="BG55" s="334"/>
      <c r="BH55" s="334"/>
      <c r="BI55" s="334"/>
    </row>
    <row r="56" spans="1:61" ht="15.75" customHeight="1" x14ac:dyDescent="0.25">
      <c r="A56" s="334"/>
      <c r="B56" s="334"/>
      <c r="C56" s="334"/>
      <c r="D56" s="334"/>
      <c r="E56" s="334"/>
      <c r="F56" s="334"/>
      <c r="G56" s="334"/>
      <c r="H56" s="334"/>
      <c r="I56" s="334"/>
      <c r="J56" s="738" t="s">
        <v>12</v>
      </c>
      <c r="K56" s="739"/>
      <c r="L56" s="739"/>
      <c r="M56" s="739"/>
      <c r="N56" s="739"/>
      <c r="O56" s="740"/>
      <c r="P56" s="738" t="s">
        <v>13</v>
      </c>
      <c r="Q56" s="739"/>
      <c r="R56" s="739"/>
      <c r="S56" s="739"/>
      <c r="T56" s="739"/>
      <c r="U56" s="740"/>
      <c r="V56" s="738" t="s">
        <v>14</v>
      </c>
      <c r="W56" s="739"/>
      <c r="X56" s="739"/>
      <c r="Y56" s="739"/>
      <c r="Z56" s="739"/>
      <c r="AA56" s="740"/>
      <c r="AB56" s="738" t="s">
        <v>15</v>
      </c>
      <c r="AC56" s="739"/>
      <c r="AD56" s="739"/>
      <c r="AE56" s="739"/>
      <c r="AF56" s="739"/>
      <c r="AG56" s="740"/>
      <c r="AH56" s="738" t="s">
        <v>16</v>
      </c>
      <c r="AI56" s="739"/>
      <c r="AJ56" s="739"/>
      <c r="AK56" s="739"/>
      <c r="AL56" s="739"/>
      <c r="AM56" s="740"/>
      <c r="AN56" s="334"/>
      <c r="AO56" s="334"/>
      <c r="AP56" s="334"/>
      <c r="AQ56" s="334"/>
      <c r="AR56" s="334"/>
      <c r="AS56" s="334"/>
      <c r="AT56" s="334"/>
      <c r="AU56" s="334"/>
      <c r="AV56" s="334"/>
      <c r="AW56" s="334"/>
      <c r="AX56" s="334"/>
      <c r="AY56" s="334"/>
      <c r="AZ56" s="334"/>
      <c r="BA56" s="334"/>
      <c r="BB56" s="334"/>
      <c r="BC56" s="334"/>
      <c r="BD56" s="334"/>
      <c r="BE56" s="334"/>
      <c r="BF56" s="334"/>
      <c r="BG56" s="334"/>
      <c r="BH56" s="334"/>
      <c r="BI56" s="334"/>
    </row>
    <row r="57" spans="1:61" ht="15.75" customHeight="1" x14ac:dyDescent="0.25">
      <c r="A57" s="334"/>
      <c r="B57" s="334"/>
      <c r="C57" s="334"/>
      <c r="D57" s="334"/>
      <c r="E57" s="334"/>
      <c r="F57" s="334"/>
      <c r="G57" s="334"/>
      <c r="H57" s="334"/>
      <c r="I57" s="334"/>
      <c r="J57" s="741"/>
      <c r="K57" s="742"/>
      <c r="L57" s="742"/>
      <c r="M57" s="742"/>
      <c r="N57" s="742"/>
      <c r="O57" s="743"/>
      <c r="P57" s="741"/>
      <c r="Q57" s="742"/>
      <c r="R57" s="742"/>
      <c r="S57" s="742"/>
      <c r="T57" s="742"/>
      <c r="U57" s="743"/>
      <c r="V57" s="741"/>
      <c r="W57" s="742"/>
      <c r="X57" s="742"/>
      <c r="Y57" s="742"/>
      <c r="Z57" s="742"/>
      <c r="AA57" s="743"/>
      <c r="AB57" s="741"/>
      <c r="AC57" s="742"/>
      <c r="AD57" s="742"/>
      <c r="AE57" s="742"/>
      <c r="AF57" s="742"/>
      <c r="AG57" s="743"/>
      <c r="AH57" s="741"/>
      <c r="AI57" s="742"/>
      <c r="AJ57" s="742"/>
      <c r="AK57" s="742"/>
      <c r="AL57" s="742"/>
      <c r="AM57" s="743"/>
      <c r="AN57" s="334"/>
      <c r="AO57" s="334"/>
      <c r="AP57" s="334"/>
      <c r="AQ57" s="334"/>
      <c r="AR57" s="334"/>
      <c r="AS57" s="334"/>
      <c r="AT57" s="334"/>
      <c r="AU57" s="334"/>
      <c r="AV57" s="334"/>
      <c r="AW57" s="334"/>
      <c r="AX57" s="334"/>
      <c r="AY57" s="334"/>
      <c r="AZ57" s="334"/>
      <c r="BA57" s="334"/>
      <c r="BB57" s="334"/>
      <c r="BC57" s="334"/>
      <c r="BD57" s="334"/>
      <c r="BE57" s="334"/>
      <c r="BF57" s="334"/>
      <c r="BG57" s="334"/>
      <c r="BH57" s="334"/>
      <c r="BI57" s="334"/>
    </row>
    <row r="58" spans="1:61" ht="15.75" customHeight="1" x14ac:dyDescent="0.25">
      <c r="A58" s="334"/>
      <c r="B58" s="334"/>
      <c r="C58" s="334"/>
      <c r="D58" s="334"/>
      <c r="E58" s="334"/>
      <c r="F58" s="334"/>
      <c r="G58" s="334"/>
      <c r="H58" s="334"/>
      <c r="I58" s="334"/>
      <c r="J58" s="741"/>
      <c r="K58" s="742"/>
      <c r="L58" s="742"/>
      <c r="M58" s="742"/>
      <c r="N58" s="742"/>
      <c r="O58" s="743"/>
      <c r="P58" s="741"/>
      <c r="Q58" s="742"/>
      <c r="R58" s="742"/>
      <c r="S58" s="742"/>
      <c r="T58" s="742"/>
      <c r="U58" s="743"/>
      <c r="V58" s="741"/>
      <c r="W58" s="742"/>
      <c r="X58" s="742"/>
      <c r="Y58" s="742"/>
      <c r="Z58" s="742"/>
      <c r="AA58" s="743"/>
      <c r="AB58" s="741"/>
      <c r="AC58" s="742"/>
      <c r="AD58" s="742"/>
      <c r="AE58" s="742"/>
      <c r="AF58" s="742"/>
      <c r="AG58" s="743"/>
      <c r="AH58" s="741"/>
      <c r="AI58" s="742"/>
      <c r="AJ58" s="742"/>
      <c r="AK58" s="742"/>
      <c r="AL58" s="742"/>
      <c r="AM58" s="743"/>
      <c r="AN58" s="334"/>
      <c r="AO58" s="334"/>
      <c r="AP58" s="334"/>
      <c r="AQ58" s="334"/>
      <c r="AR58" s="334"/>
      <c r="AS58" s="334"/>
      <c r="AT58" s="334"/>
      <c r="AU58" s="334"/>
      <c r="AV58" s="334"/>
      <c r="AW58" s="334"/>
      <c r="AX58" s="334"/>
      <c r="AY58" s="334"/>
      <c r="AZ58" s="334"/>
      <c r="BA58" s="334"/>
      <c r="BB58" s="334"/>
      <c r="BC58" s="334"/>
      <c r="BD58" s="334"/>
      <c r="BE58" s="334"/>
      <c r="BF58" s="334"/>
      <c r="BG58" s="334"/>
      <c r="BH58" s="334"/>
      <c r="BI58" s="334"/>
    </row>
    <row r="59" spans="1:61" ht="15.75" customHeight="1" x14ac:dyDescent="0.25">
      <c r="A59" s="334"/>
      <c r="B59" s="334"/>
      <c r="C59" s="334"/>
      <c r="D59" s="334"/>
      <c r="E59" s="334"/>
      <c r="F59" s="334"/>
      <c r="G59" s="334"/>
      <c r="H59" s="334"/>
      <c r="I59" s="334"/>
      <c r="J59" s="741"/>
      <c r="K59" s="742"/>
      <c r="L59" s="742"/>
      <c r="M59" s="742"/>
      <c r="N59" s="742"/>
      <c r="O59" s="743"/>
      <c r="P59" s="741"/>
      <c r="Q59" s="742"/>
      <c r="R59" s="742"/>
      <c r="S59" s="742"/>
      <c r="T59" s="742"/>
      <c r="U59" s="743"/>
      <c r="V59" s="741"/>
      <c r="W59" s="742"/>
      <c r="X59" s="742"/>
      <c r="Y59" s="742"/>
      <c r="Z59" s="742"/>
      <c r="AA59" s="743"/>
      <c r="AB59" s="741"/>
      <c r="AC59" s="742"/>
      <c r="AD59" s="742"/>
      <c r="AE59" s="742"/>
      <c r="AF59" s="742"/>
      <c r="AG59" s="743"/>
      <c r="AH59" s="741"/>
      <c r="AI59" s="742"/>
      <c r="AJ59" s="742"/>
      <c r="AK59" s="742"/>
      <c r="AL59" s="742"/>
      <c r="AM59" s="743"/>
      <c r="AN59" s="334"/>
      <c r="AO59" s="334"/>
      <c r="AP59" s="334"/>
      <c r="AQ59" s="334"/>
      <c r="AR59" s="334"/>
      <c r="AS59" s="334"/>
      <c r="AT59" s="334"/>
      <c r="AU59" s="334"/>
      <c r="AV59" s="334"/>
      <c r="AW59" s="334"/>
      <c r="AX59" s="334"/>
      <c r="AY59" s="334"/>
      <c r="AZ59" s="334"/>
      <c r="BA59" s="334"/>
      <c r="BB59" s="334"/>
      <c r="BC59" s="334"/>
      <c r="BD59" s="334"/>
      <c r="BE59" s="334"/>
      <c r="BF59" s="334"/>
      <c r="BG59" s="334"/>
      <c r="BH59" s="334"/>
      <c r="BI59" s="334"/>
    </row>
    <row r="60" spans="1:61" ht="15.75" customHeight="1" x14ac:dyDescent="0.25">
      <c r="A60" s="334"/>
      <c r="B60" s="334"/>
      <c r="C60" s="334"/>
      <c r="D60" s="334"/>
      <c r="E60" s="334"/>
      <c r="F60" s="334"/>
      <c r="G60" s="334"/>
      <c r="H60" s="334"/>
      <c r="I60" s="334"/>
      <c r="J60" s="741"/>
      <c r="K60" s="742"/>
      <c r="L60" s="742"/>
      <c r="M60" s="742"/>
      <c r="N60" s="742"/>
      <c r="O60" s="743"/>
      <c r="P60" s="741"/>
      <c r="Q60" s="742"/>
      <c r="R60" s="742"/>
      <c r="S60" s="742"/>
      <c r="T60" s="742"/>
      <c r="U60" s="743"/>
      <c r="V60" s="741"/>
      <c r="W60" s="742"/>
      <c r="X60" s="742"/>
      <c r="Y60" s="742"/>
      <c r="Z60" s="742"/>
      <c r="AA60" s="743"/>
      <c r="AB60" s="741"/>
      <c r="AC60" s="742"/>
      <c r="AD60" s="742"/>
      <c r="AE60" s="742"/>
      <c r="AF60" s="742"/>
      <c r="AG60" s="743"/>
      <c r="AH60" s="741"/>
      <c r="AI60" s="742"/>
      <c r="AJ60" s="742"/>
      <c r="AK60" s="742"/>
      <c r="AL60" s="742"/>
      <c r="AM60" s="743"/>
      <c r="AN60" s="334"/>
      <c r="AO60" s="334"/>
      <c r="AP60" s="334"/>
      <c r="AQ60" s="334"/>
      <c r="AR60" s="334"/>
      <c r="AS60" s="334"/>
      <c r="AT60" s="334"/>
      <c r="AU60" s="334"/>
      <c r="AV60" s="334"/>
      <c r="AW60" s="334"/>
      <c r="AX60" s="334"/>
      <c r="AY60" s="334"/>
      <c r="AZ60" s="334"/>
      <c r="BA60" s="334"/>
      <c r="BB60" s="334"/>
      <c r="BC60" s="334"/>
      <c r="BD60" s="334"/>
      <c r="BE60" s="334"/>
      <c r="BF60" s="334"/>
      <c r="BG60" s="334"/>
      <c r="BH60" s="334"/>
      <c r="BI60" s="334"/>
    </row>
    <row r="61" spans="1:61" ht="15.75" customHeight="1" thickBot="1" x14ac:dyDescent="0.3">
      <c r="A61" s="334"/>
      <c r="B61" s="334"/>
      <c r="C61" s="334"/>
      <c r="D61" s="334"/>
      <c r="E61" s="334"/>
      <c r="F61" s="334"/>
      <c r="G61" s="334"/>
      <c r="H61" s="334"/>
      <c r="I61" s="334"/>
      <c r="J61" s="744"/>
      <c r="K61" s="745"/>
      <c r="L61" s="745"/>
      <c r="M61" s="745"/>
      <c r="N61" s="745"/>
      <c r="O61" s="746"/>
      <c r="P61" s="744"/>
      <c r="Q61" s="745"/>
      <c r="R61" s="745"/>
      <c r="S61" s="745"/>
      <c r="T61" s="745"/>
      <c r="U61" s="746"/>
      <c r="V61" s="744"/>
      <c r="W61" s="745"/>
      <c r="X61" s="745"/>
      <c r="Y61" s="745"/>
      <c r="Z61" s="745"/>
      <c r="AA61" s="746"/>
      <c r="AB61" s="744"/>
      <c r="AC61" s="745"/>
      <c r="AD61" s="745"/>
      <c r="AE61" s="745"/>
      <c r="AF61" s="745"/>
      <c r="AG61" s="746"/>
      <c r="AH61" s="744"/>
      <c r="AI61" s="745"/>
      <c r="AJ61" s="745"/>
      <c r="AK61" s="745"/>
      <c r="AL61" s="745"/>
      <c r="AM61" s="746"/>
      <c r="AN61" s="334"/>
      <c r="AO61" s="334"/>
      <c r="AP61" s="334"/>
      <c r="AQ61" s="334"/>
      <c r="AR61" s="334"/>
      <c r="AS61" s="334"/>
      <c r="AT61" s="334"/>
      <c r="AU61" s="334"/>
      <c r="AV61" s="334"/>
      <c r="AW61" s="334"/>
      <c r="AX61" s="334"/>
      <c r="AY61" s="334"/>
      <c r="AZ61" s="334"/>
      <c r="BA61" s="334"/>
      <c r="BB61" s="334"/>
      <c r="BC61" s="334"/>
      <c r="BD61" s="334"/>
      <c r="BE61" s="334"/>
      <c r="BF61" s="334"/>
      <c r="BG61" s="334"/>
      <c r="BH61" s="334"/>
      <c r="BI61" s="334"/>
    </row>
    <row r="62" spans="1:61" ht="15.75" customHeight="1" x14ac:dyDescent="0.25">
      <c r="A62" s="334"/>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c r="BA62" s="334"/>
      <c r="BB62" s="334"/>
      <c r="BC62" s="334"/>
      <c r="BD62" s="334"/>
      <c r="BE62" s="334"/>
      <c r="BF62" s="334"/>
      <c r="BG62" s="334"/>
      <c r="BH62" s="334"/>
    </row>
    <row r="63" spans="1:61" ht="15" customHeight="1" x14ac:dyDescent="0.25">
      <c r="A63" s="334"/>
      <c r="B63" s="372"/>
      <c r="C63" s="372"/>
      <c r="D63" s="372"/>
      <c r="E63" s="372"/>
      <c r="F63" s="372"/>
      <c r="G63" s="372"/>
      <c r="H63" s="372"/>
      <c r="I63" s="372"/>
      <c r="J63" s="372"/>
      <c r="K63" s="372"/>
      <c r="L63" s="372"/>
      <c r="M63" s="372"/>
      <c r="N63" s="372"/>
      <c r="O63" s="372"/>
      <c r="P63" s="372"/>
      <c r="Q63" s="372"/>
      <c r="R63" s="372"/>
      <c r="S63" s="372"/>
      <c r="T63" s="372"/>
      <c r="U63" s="372"/>
      <c r="V63" s="372"/>
      <c r="W63" s="372"/>
      <c r="X63" s="372"/>
      <c r="Y63" s="372"/>
      <c r="Z63" s="372"/>
      <c r="AA63" s="372"/>
      <c r="AB63" s="372"/>
      <c r="AC63" s="372"/>
      <c r="AD63" s="372"/>
      <c r="AE63" s="372"/>
      <c r="AF63" s="372"/>
      <c r="AG63" s="372"/>
      <c r="AH63" s="372"/>
      <c r="AI63" s="372"/>
      <c r="AJ63" s="372"/>
      <c r="AK63" s="372"/>
      <c r="AL63" s="372"/>
      <c r="AM63" s="372"/>
      <c r="AN63" s="372"/>
      <c r="AO63" s="372"/>
      <c r="AP63" s="372"/>
      <c r="AQ63" s="372"/>
      <c r="AR63" s="372"/>
      <c r="AS63" s="372"/>
      <c r="AT63" s="372"/>
      <c r="AU63" s="334"/>
      <c r="AV63" s="334"/>
      <c r="AW63" s="334"/>
      <c r="AX63" s="334"/>
      <c r="AY63" s="334"/>
      <c r="AZ63" s="334"/>
      <c r="BA63" s="334"/>
      <c r="BB63" s="334"/>
      <c r="BC63" s="334"/>
      <c r="BD63" s="334"/>
      <c r="BE63" s="334"/>
      <c r="BF63" s="334"/>
      <c r="BG63" s="334"/>
      <c r="BH63" s="334"/>
    </row>
    <row r="64" spans="1:61" ht="15" customHeight="1" x14ac:dyDescent="0.25">
      <c r="A64" s="334"/>
      <c r="B64" s="372"/>
      <c r="C64" s="372"/>
      <c r="D64" s="372"/>
      <c r="E64" s="372"/>
      <c r="F64" s="372"/>
      <c r="G64" s="372"/>
      <c r="H64" s="372"/>
      <c r="I64" s="372"/>
      <c r="J64" s="372"/>
      <c r="K64" s="372"/>
      <c r="L64" s="372"/>
      <c r="M64" s="372"/>
      <c r="N64" s="372"/>
      <c r="O64" s="372"/>
      <c r="P64" s="372"/>
      <c r="Q64" s="372"/>
      <c r="R64" s="372"/>
      <c r="S64" s="372"/>
      <c r="T64" s="372"/>
      <c r="U64" s="372"/>
      <c r="V64" s="372"/>
      <c r="W64" s="372"/>
      <c r="X64" s="372"/>
      <c r="Y64" s="372"/>
      <c r="Z64" s="372"/>
      <c r="AA64" s="372"/>
      <c r="AB64" s="372"/>
      <c r="AC64" s="372"/>
      <c r="AD64" s="372"/>
      <c r="AE64" s="372"/>
      <c r="AF64" s="372"/>
      <c r="AG64" s="372"/>
      <c r="AH64" s="372"/>
      <c r="AI64" s="372"/>
      <c r="AJ64" s="372"/>
      <c r="AK64" s="372"/>
      <c r="AL64" s="372"/>
      <c r="AM64" s="372"/>
      <c r="AN64" s="372"/>
      <c r="AO64" s="372"/>
      <c r="AP64" s="372"/>
      <c r="AQ64" s="372"/>
      <c r="AR64" s="372"/>
      <c r="AS64" s="372"/>
      <c r="AT64" s="372"/>
      <c r="AU64" s="334"/>
      <c r="AV64" s="334"/>
      <c r="AW64" s="334"/>
      <c r="AX64" s="334"/>
      <c r="AY64" s="334"/>
      <c r="AZ64" s="334"/>
      <c r="BA64" s="334"/>
      <c r="BB64" s="334"/>
      <c r="BC64" s="334"/>
      <c r="BD64" s="334"/>
      <c r="BE64" s="334"/>
      <c r="BF64" s="334"/>
      <c r="BG64" s="334"/>
      <c r="BH64" s="334"/>
    </row>
    <row r="65" spans="1:60" ht="15.75" customHeight="1" x14ac:dyDescent="0.25">
      <c r="A65" s="334"/>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c r="BA65" s="334"/>
      <c r="BB65" s="334"/>
      <c r="BC65" s="334"/>
      <c r="BD65" s="334"/>
      <c r="BE65" s="334"/>
      <c r="BF65" s="334"/>
      <c r="BG65" s="334"/>
      <c r="BH65" s="334"/>
    </row>
    <row r="66" spans="1:60" ht="15.75" customHeight="1" x14ac:dyDescent="0.25">
      <c r="A66" s="334"/>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4"/>
      <c r="BC66" s="334"/>
      <c r="BD66" s="334"/>
      <c r="BE66" s="334"/>
      <c r="BF66" s="334"/>
      <c r="BG66" s="334"/>
      <c r="BH66" s="334"/>
    </row>
    <row r="67" spans="1:60" ht="15.75" customHeight="1" x14ac:dyDescent="0.25">
      <c r="A67" s="334"/>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c r="AZ67" s="334"/>
      <c r="BA67" s="334"/>
      <c r="BB67" s="334"/>
      <c r="BC67" s="334"/>
      <c r="BD67" s="334"/>
      <c r="BE67" s="334"/>
      <c r="BF67" s="334"/>
      <c r="BG67" s="334"/>
      <c r="BH67" s="334"/>
    </row>
    <row r="68" spans="1:60" ht="15.75" customHeight="1" x14ac:dyDescent="0.25">
      <c r="A68" s="334"/>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c r="Z68" s="334"/>
      <c r="AA68" s="334"/>
      <c r="AB68" s="334"/>
      <c r="AC68" s="334"/>
      <c r="AD68" s="334"/>
      <c r="AE68" s="334"/>
      <c r="AF68" s="334"/>
      <c r="AG68" s="334"/>
      <c r="AH68" s="334"/>
      <c r="AI68" s="334"/>
      <c r="AJ68" s="334"/>
      <c r="AK68" s="334"/>
      <c r="AL68" s="334"/>
      <c r="AM68" s="334"/>
      <c r="AN68" s="334"/>
      <c r="AO68" s="334"/>
      <c r="AP68" s="334"/>
      <c r="AQ68" s="334"/>
      <c r="AR68" s="334"/>
      <c r="AS68" s="334"/>
      <c r="AT68" s="334"/>
      <c r="AU68" s="334"/>
      <c r="AV68" s="334"/>
      <c r="AW68" s="334"/>
      <c r="AX68" s="334"/>
      <c r="AY68" s="334"/>
      <c r="AZ68" s="334"/>
      <c r="BA68" s="334"/>
      <c r="BB68" s="334"/>
      <c r="BC68" s="334"/>
      <c r="BD68" s="334"/>
      <c r="BE68" s="334"/>
      <c r="BF68" s="334"/>
      <c r="BG68" s="334"/>
      <c r="BH68" s="334"/>
    </row>
    <row r="69" spans="1:60" ht="15.75" customHeight="1" x14ac:dyDescent="0.25">
      <c r="A69" s="334"/>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c r="BA69" s="334"/>
      <c r="BB69" s="334"/>
      <c r="BC69" s="334"/>
      <c r="BD69" s="334"/>
      <c r="BE69" s="334"/>
      <c r="BF69" s="334"/>
      <c r="BG69" s="334"/>
      <c r="BH69" s="334"/>
    </row>
    <row r="70" spans="1:60" ht="15.75" customHeight="1" x14ac:dyDescent="0.25">
      <c r="A70" s="334"/>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c r="BA70" s="334"/>
      <c r="BB70" s="334"/>
      <c r="BC70" s="334"/>
      <c r="BD70" s="334"/>
      <c r="BE70" s="334"/>
      <c r="BF70" s="334"/>
      <c r="BG70" s="334"/>
      <c r="BH70" s="334"/>
    </row>
    <row r="71" spans="1:60" ht="15.75" customHeight="1" x14ac:dyDescent="0.25">
      <c r="A71" s="334"/>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AZ71" s="334"/>
      <c r="BA71" s="334"/>
      <c r="BB71" s="334"/>
      <c r="BC71" s="334"/>
      <c r="BD71" s="334"/>
      <c r="BE71" s="334"/>
      <c r="BF71" s="334"/>
      <c r="BG71" s="334"/>
      <c r="BH71" s="334"/>
    </row>
    <row r="72" spans="1:60" ht="15.75" customHeight="1" x14ac:dyDescent="0.25">
      <c r="A72" s="334"/>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c r="Z72" s="334"/>
      <c r="AA72" s="334"/>
      <c r="AB72" s="334"/>
      <c r="AC72" s="334"/>
      <c r="AD72" s="334"/>
      <c r="AE72" s="334"/>
      <c r="AF72" s="334"/>
      <c r="AG72" s="334"/>
      <c r="AH72" s="334"/>
      <c r="AI72" s="334"/>
      <c r="AJ72" s="334"/>
      <c r="AK72" s="334"/>
      <c r="AL72" s="334"/>
      <c r="AM72" s="334"/>
      <c r="AN72" s="334"/>
      <c r="AO72" s="334"/>
      <c r="AP72" s="334"/>
      <c r="AQ72" s="334"/>
      <c r="AR72" s="334"/>
      <c r="AS72" s="334"/>
      <c r="AT72" s="334"/>
      <c r="AU72" s="334"/>
      <c r="AV72" s="334"/>
      <c r="AW72" s="334"/>
      <c r="AX72" s="334"/>
      <c r="AY72" s="334"/>
      <c r="AZ72" s="334"/>
      <c r="BA72" s="334"/>
      <c r="BB72" s="334"/>
      <c r="BC72" s="334"/>
      <c r="BD72" s="334"/>
      <c r="BE72" s="334"/>
      <c r="BF72" s="334"/>
      <c r="BG72" s="334"/>
      <c r="BH72" s="334"/>
    </row>
    <row r="73" spans="1:60" ht="15.75" customHeight="1" x14ac:dyDescent="0.25">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c r="Z73" s="334"/>
      <c r="AA73" s="334"/>
      <c r="AB73" s="334"/>
      <c r="AC73" s="334"/>
      <c r="AD73" s="334"/>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4"/>
      <c r="BC73" s="334"/>
      <c r="BD73" s="334"/>
      <c r="BE73" s="334"/>
      <c r="BF73" s="334"/>
      <c r="BG73" s="334"/>
      <c r="BH73" s="334"/>
    </row>
    <row r="74" spans="1:60" ht="15.75" customHeight="1" x14ac:dyDescent="0.25">
      <c r="A74" s="334"/>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c r="Z74" s="334"/>
      <c r="AA74" s="334"/>
      <c r="AB74" s="334"/>
      <c r="AC74" s="334"/>
      <c r="AD74" s="334"/>
      <c r="AE74" s="334"/>
      <c r="AF74" s="334"/>
      <c r="AG74" s="334"/>
      <c r="AH74" s="334"/>
      <c r="AI74" s="334"/>
      <c r="AJ74" s="334"/>
      <c r="AK74" s="334"/>
      <c r="AL74" s="334"/>
      <c r="AM74" s="334"/>
      <c r="AN74" s="334"/>
      <c r="AO74" s="334"/>
      <c r="AP74" s="334"/>
      <c r="AQ74" s="334"/>
      <c r="AR74" s="334"/>
      <c r="AS74" s="334"/>
      <c r="AT74" s="334"/>
      <c r="AU74" s="334"/>
      <c r="AV74" s="334"/>
      <c r="AW74" s="334"/>
      <c r="AX74" s="334"/>
      <c r="AY74" s="334"/>
      <c r="AZ74" s="334"/>
      <c r="BA74" s="334"/>
      <c r="BB74" s="334"/>
      <c r="BC74" s="334"/>
      <c r="BD74" s="334"/>
      <c r="BE74" s="334"/>
      <c r="BF74" s="334"/>
      <c r="BG74" s="334"/>
      <c r="BH74" s="334"/>
    </row>
    <row r="75" spans="1:60" ht="15.75" customHeight="1" x14ac:dyDescent="0.25">
      <c r="A75" s="334"/>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c r="Z75" s="334"/>
      <c r="AA75" s="334"/>
      <c r="AB75" s="334"/>
      <c r="AC75" s="334"/>
      <c r="AD75" s="334"/>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4"/>
      <c r="BC75" s="334"/>
      <c r="BD75" s="334"/>
      <c r="BE75" s="334"/>
      <c r="BF75" s="334"/>
      <c r="BG75" s="334"/>
      <c r="BH75" s="334"/>
    </row>
    <row r="76" spans="1:60" ht="15.75" customHeight="1" x14ac:dyDescent="0.25">
      <c r="A76" s="334"/>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c r="Z76" s="334"/>
      <c r="AA76" s="334"/>
      <c r="AB76" s="334"/>
      <c r="AC76" s="334"/>
      <c r="AD76" s="334"/>
      <c r="AE76" s="334"/>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4"/>
      <c r="BC76" s="334"/>
      <c r="BD76" s="334"/>
      <c r="BE76" s="334"/>
      <c r="BF76" s="334"/>
      <c r="BG76" s="334"/>
      <c r="BH76" s="334"/>
    </row>
    <row r="77" spans="1:60" ht="15.75" customHeight="1" x14ac:dyDescent="0.25">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c r="AA77" s="334"/>
      <c r="AB77" s="334"/>
      <c r="AC77" s="334"/>
      <c r="AD77" s="334"/>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4"/>
    </row>
    <row r="78" spans="1:60" ht="15.75" customHeight="1" x14ac:dyDescent="0.25">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c r="AA78" s="334"/>
      <c r="AB78" s="334"/>
      <c r="AC78" s="334"/>
      <c r="AD78" s="334"/>
      <c r="AE78" s="334"/>
      <c r="AF78" s="334"/>
      <c r="AG78" s="334"/>
      <c r="AH78" s="334"/>
      <c r="AI78" s="334"/>
      <c r="AJ78" s="334"/>
      <c r="AK78" s="334"/>
      <c r="AL78" s="334"/>
      <c r="AM78" s="334"/>
      <c r="AN78" s="334"/>
      <c r="AO78" s="334"/>
      <c r="AP78" s="334"/>
      <c r="AQ78" s="334"/>
      <c r="AR78" s="334"/>
      <c r="AS78" s="334"/>
      <c r="AT78" s="334"/>
      <c r="AU78" s="334"/>
      <c r="AV78" s="334"/>
      <c r="AW78" s="334"/>
      <c r="AX78" s="334"/>
      <c r="AY78" s="334"/>
      <c r="AZ78" s="334"/>
      <c r="BA78" s="334"/>
      <c r="BB78" s="334"/>
      <c r="BC78" s="334"/>
      <c r="BD78" s="334"/>
      <c r="BE78" s="334"/>
      <c r="BF78" s="334"/>
      <c r="BG78" s="334"/>
      <c r="BH78" s="334"/>
    </row>
    <row r="79" spans="1:60" ht="15.75" customHeight="1" x14ac:dyDescent="0.25">
      <c r="A79" s="334"/>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AZ79" s="334"/>
      <c r="BA79" s="334"/>
      <c r="BB79" s="334"/>
      <c r="BC79" s="334"/>
      <c r="BD79" s="334"/>
      <c r="BE79" s="334"/>
      <c r="BF79" s="334"/>
      <c r="BG79" s="334"/>
      <c r="BH79" s="334"/>
    </row>
    <row r="80" spans="1:60" ht="15.75" customHeight="1" x14ac:dyDescent="0.25">
      <c r="A80" s="334"/>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4"/>
      <c r="AX80" s="334"/>
      <c r="AY80" s="334"/>
      <c r="AZ80" s="334"/>
      <c r="BA80" s="334"/>
      <c r="BB80" s="334"/>
      <c r="BC80" s="334"/>
      <c r="BD80" s="334"/>
      <c r="BE80" s="334"/>
      <c r="BF80" s="334"/>
      <c r="BG80" s="334"/>
      <c r="BH80" s="334"/>
    </row>
    <row r="81" spans="1:60" ht="15.75" customHeight="1" x14ac:dyDescent="0.25">
      <c r="A81" s="334"/>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4"/>
      <c r="AX81" s="334"/>
      <c r="AY81" s="334"/>
      <c r="AZ81" s="334"/>
      <c r="BA81" s="334"/>
      <c r="BB81" s="334"/>
      <c r="BC81" s="334"/>
      <c r="BD81" s="334"/>
      <c r="BE81" s="334"/>
      <c r="BF81" s="334"/>
      <c r="BG81" s="334"/>
      <c r="BH81" s="334"/>
    </row>
    <row r="82" spans="1:60" ht="15.75" customHeight="1" x14ac:dyDescent="0.25">
      <c r="A82" s="334"/>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c r="Z82" s="334"/>
      <c r="AA82" s="334"/>
      <c r="AB82" s="334"/>
      <c r="AC82" s="334"/>
      <c r="AD82" s="334"/>
      <c r="AE82" s="334"/>
      <c r="AF82" s="334"/>
      <c r="AG82" s="334"/>
      <c r="AH82" s="334"/>
      <c r="AI82" s="334"/>
      <c r="AJ82" s="334"/>
      <c r="AK82" s="334"/>
      <c r="AL82" s="334"/>
      <c r="AM82" s="334"/>
      <c r="AN82" s="334"/>
      <c r="AO82" s="334"/>
      <c r="AP82" s="334"/>
      <c r="AQ82" s="334"/>
      <c r="AR82" s="334"/>
      <c r="AS82" s="334"/>
      <c r="AT82" s="334"/>
      <c r="AU82" s="334"/>
      <c r="AV82" s="334"/>
      <c r="AW82" s="334"/>
      <c r="AX82" s="334"/>
      <c r="AY82" s="334"/>
      <c r="AZ82" s="334"/>
      <c r="BA82" s="334"/>
      <c r="BB82" s="334"/>
      <c r="BC82" s="334"/>
      <c r="BD82" s="334"/>
      <c r="BE82" s="334"/>
      <c r="BF82" s="334"/>
      <c r="BG82" s="334"/>
      <c r="BH82" s="334"/>
    </row>
    <row r="83" spans="1:60" ht="15.75" customHeight="1" x14ac:dyDescent="0.25">
      <c r="A83" s="334"/>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334"/>
      <c r="AE83" s="334"/>
      <c r="AF83" s="334"/>
      <c r="AG83" s="334"/>
      <c r="AH83" s="334"/>
      <c r="AI83" s="334"/>
      <c r="AJ83" s="334"/>
      <c r="AK83" s="334"/>
      <c r="AL83" s="334"/>
      <c r="AM83" s="334"/>
      <c r="AN83" s="334"/>
      <c r="AO83" s="334"/>
      <c r="AP83" s="334"/>
      <c r="AQ83" s="334"/>
      <c r="AR83" s="334"/>
      <c r="AS83" s="334"/>
      <c r="AT83" s="334"/>
      <c r="AU83" s="334"/>
      <c r="AV83" s="334"/>
      <c r="AW83" s="334"/>
      <c r="AX83" s="334"/>
      <c r="AY83" s="334"/>
      <c r="AZ83" s="334"/>
      <c r="BA83" s="334"/>
      <c r="BB83" s="334"/>
      <c r="BC83" s="334"/>
      <c r="BD83" s="334"/>
      <c r="BE83" s="334"/>
      <c r="BF83" s="334"/>
      <c r="BG83" s="334"/>
      <c r="BH83" s="334"/>
    </row>
    <row r="84" spans="1:60" ht="15.75" customHeight="1" x14ac:dyDescent="0.25">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c r="AE84" s="334"/>
      <c r="AF84" s="334"/>
      <c r="AG84" s="334"/>
      <c r="AH84" s="334"/>
      <c r="AI84" s="334"/>
      <c r="AJ84" s="334"/>
      <c r="AK84" s="334"/>
      <c r="AL84" s="334"/>
      <c r="AM84" s="334"/>
      <c r="AN84" s="334"/>
      <c r="AO84" s="334"/>
      <c r="AP84" s="334"/>
      <c r="AQ84" s="334"/>
      <c r="AR84" s="334"/>
      <c r="AS84" s="334"/>
      <c r="AT84" s="334"/>
      <c r="AU84" s="334"/>
      <c r="AV84" s="334"/>
      <c r="AW84" s="334"/>
      <c r="AX84" s="334"/>
      <c r="AY84" s="334"/>
      <c r="AZ84" s="334"/>
      <c r="BA84" s="334"/>
      <c r="BB84" s="334"/>
      <c r="BC84" s="334"/>
      <c r="BD84" s="334"/>
      <c r="BE84" s="334"/>
      <c r="BF84" s="334"/>
      <c r="BG84" s="334"/>
      <c r="BH84" s="334"/>
    </row>
    <row r="85" spans="1:60" ht="15.75" customHeight="1" x14ac:dyDescent="0.25">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c r="AE85" s="334"/>
      <c r="AF85" s="334"/>
      <c r="AG85" s="334"/>
      <c r="AH85" s="334"/>
      <c r="AI85" s="334"/>
      <c r="AJ85" s="334"/>
      <c r="AK85" s="334"/>
      <c r="AL85" s="334"/>
      <c r="AM85" s="334"/>
      <c r="AN85" s="334"/>
      <c r="AO85" s="334"/>
      <c r="AP85" s="334"/>
      <c r="AQ85" s="334"/>
      <c r="AR85" s="334"/>
      <c r="AS85" s="334"/>
      <c r="AT85" s="334"/>
      <c r="AU85" s="334"/>
      <c r="AV85" s="334"/>
      <c r="AW85" s="334"/>
      <c r="AX85" s="334"/>
      <c r="AY85" s="334"/>
      <c r="AZ85" s="334"/>
      <c r="BA85" s="334"/>
      <c r="BB85" s="334"/>
      <c r="BC85" s="334"/>
      <c r="BD85" s="334"/>
      <c r="BE85" s="334"/>
      <c r="BF85" s="334"/>
      <c r="BG85" s="334"/>
      <c r="BH85" s="334"/>
    </row>
    <row r="86" spans="1:60" ht="15.75" customHeight="1" x14ac:dyDescent="0.25">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4"/>
      <c r="BD86" s="334"/>
      <c r="BE86" s="334"/>
      <c r="BF86" s="334"/>
      <c r="BG86" s="334"/>
      <c r="BH86" s="334"/>
    </row>
    <row r="87" spans="1:60" ht="15.75" customHeight="1" x14ac:dyDescent="0.25">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4"/>
      <c r="BC87" s="334"/>
      <c r="BD87" s="334"/>
      <c r="BE87" s="334"/>
      <c r="BF87" s="334"/>
      <c r="BG87" s="334"/>
      <c r="BH87" s="334"/>
    </row>
    <row r="88" spans="1:60" ht="15.75" customHeight="1" x14ac:dyDescent="0.25">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4"/>
      <c r="BC88" s="334"/>
      <c r="BD88" s="334"/>
      <c r="BE88" s="334"/>
      <c r="BF88" s="334"/>
      <c r="BG88" s="334"/>
      <c r="BH88" s="334"/>
    </row>
    <row r="89" spans="1:60" ht="15.75" customHeight="1" x14ac:dyDescent="0.25">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4"/>
      <c r="AX89" s="334"/>
      <c r="AY89" s="334"/>
      <c r="AZ89" s="334"/>
      <c r="BA89" s="334"/>
      <c r="BB89" s="334"/>
      <c r="BC89" s="334"/>
      <c r="BD89" s="334"/>
      <c r="BE89" s="334"/>
      <c r="BF89" s="334"/>
      <c r="BG89" s="334"/>
      <c r="BH89" s="334"/>
    </row>
    <row r="90" spans="1:60" ht="15.75" customHeight="1" x14ac:dyDescent="0.25">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4"/>
      <c r="AX90" s="334"/>
      <c r="AY90" s="334"/>
      <c r="AZ90" s="334"/>
      <c r="BA90" s="334"/>
      <c r="BB90" s="334"/>
      <c r="BC90" s="334"/>
      <c r="BD90" s="334"/>
      <c r="BE90" s="334"/>
      <c r="BF90" s="334"/>
      <c r="BG90" s="334"/>
      <c r="BH90" s="334"/>
    </row>
    <row r="91" spans="1:60" ht="15.75" customHeight="1" x14ac:dyDescent="0.25">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4"/>
      <c r="AX91" s="334"/>
      <c r="AY91" s="334"/>
      <c r="AZ91" s="334"/>
      <c r="BA91" s="334"/>
      <c r="BB91" s="334"/>
      <c r="BC91" s="334"/>
      <c r="BD91" s="334"/>
      <c r="BE91" s="334"/>
      <c r="BF91" s="334"/>
      <c r="BG91" s="334"/>
      <c r="BH91" s="334"/>
    </row>
    <row r="92" spans="1:60" ht="15.75" customHeight="1" x14ac:dyDescent="0.25">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4"/>
      <c r="AX92" s="334"/>
      <c r="AY92" s="334"/>
      <c r="AZ92" s="334"/>
      <c r="BA92" s="334"/>
      <c r="BB92" s="334"/>
      <c r="BC92" s="334"/>
      <c r="BD92" s="334"/>
      <c r="BE92" s="334"/>
      <c r="BF92" s="334"/>
      <c r="BG92" s="334"/>
      <c r="BH92" s="334"/>
    </row>
    <row r="93" spans="1:60" ht="15.75" customHeight="1" x14ac:dyDescent="0.25">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4"/>
      <c r="AX93" s="334"/>
      <c r="AY93" s="334"/>
      <c r="AZ93" s="334"/>
      <c r="BA93" s="334"/>
      <c r="BB93" s="334"/>
      <c r="BC93" s="334"/>
      <c r="BD93" s="334"/>
      <c r="BE93" s="334"/>
      <c r="BF93" s="334"/>
      <c r="BG93" s="334"/>
      <c r="BH93" s="334"/>
    </row>
    <row r="94" spans="1:60" ht="15.75" customHeight="1" x14ac:dyDescent="0.25">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4"/>
      <c r="BD94" s="334"/>
      <c r="BE94" s="334"/>
      <c r="BF94" s="334"/>
      <c r="BG94" s="334"/>
      <c r="BH94" s="334"/>
    </row>
    <row r="95" spans="1:60" ht="15.75" customHeight="1" x14ac:dyDescent="0.25">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4"/>
      <c r="BC95" s="334"/>
      <c r="BD95" s="334"/>
      <c r="BE95" s="334"/>
      <c r="BF95" s="334"/>
      <c r="BG95" s="334"/>
      <c r="BH95" s="334"/>
    </row>
    <row r="96" spans="1:60" ht="15.75" customHeight="1" x14ac:dyDescent="0.25">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4"/>
      <c r="AX96" s="334"/>
      <c r="AY96" s="334"/>
      <c r="AZ96" s="334"/>
      <c r="BA96" s="334"/>
      <c r="BB96" s="334"/>
      <c r="BC96" s="334"/>
      <c r="BD96" s="334"/>
      <c r="BE96" s="334"/>
      <c r="BF96" s="334"/>
      <c r="BG96" s="334"/>
      <c r="BH96" s="334"/>
    </row>
    <row r="97" spans="1:60" ht="15.75" customHeight="1" x14ac:dyDescent="0.25">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4"/>
      <c r="AX97" s="334"/>
      <c r="AY97" s="334"/>
      <c r="AZ97" s="334"/>
      <c r="BA97" s="334"/>
      <c r="BB97" s="334"/>
      <c r="BC97" s="334"/>
      <c r="BD97" s="334"/>
      <c r="BE97" s="334"/>
      <c r="BF97" s="334"/>
      <c r="BG97" s="334"/>
      <c r="BH97" s="334"/>
    </row>
    <row r="98" spans="1:60" ht="15.75" customHeight="1" x14ac:dyDescent="0.25">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4"/>
      <c r="AX98" s="334"/>
      <c r="AY98" s="334"/>
      <c r="AZ98" s="334"/>
      <c r="BA98" s="334"/>
      <c r="BB98" s="334"/>
      <c r="BC98" s="334"/>
      <c r="BD98" s="334"/>
      <c r="BE98" s="334"/>
      <c r="BF98" s="334"/>
      <c r="BG98" s="334"/>
      <c r="BH98" s="334"/>
    </row>
    <row r="99" spans="1:60" ht="15.75" customHeight="1" x14ac:dyDescent="0.25">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4"/>
      <c r="BC99" s="334"/>
      <c r="BD99" s="334"/>
      <c r="BE99" s="334"/>
      <c r="BF99" s="334"/>
      <c r="BG99" s="334"/>
      <c r="BH99" s="334"/>
    </row>
    <row r="100" spans="1:60" ht="15.75" customHeight="1" x14ac:dyDescent="0.25">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4"/>
      <c r="BB100" s="334"/>
      <c r="BC100" s="334"/>
      <c r="BD100" s="334"/>
      <c r="BE100" s="334"/>
      <c r="BF100" s="334"/>
      <c r="BG100" s="334"/>
      <c r="BH100" s="334"/>
    </row>
    <row r="101" spans="1:60" ht="15.75" customHeight="1" x14ac:dyDescent="0.25">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AZ101" s="334"/>
      <c r="BA101" s="334"/>
      <c r="BB101" s="334"/>
      <c r="BC101" s="334"/>
      <c r="BD101" s="334"/>
      <c r="BE101" s="334"/>
      <c r="BF101" s="334"/>
      <c r="BG101" s="334"/>
      <c r="BH101" s="334"/>
    </row>
    <row r="102" spans="1:60" ht="15.75" customHeight="1" x14ac:dyDescent="0.25">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4"/>
      <c r="BC102" s="334"/>
      <c r="BD102" s="334"/>
      <c r="BE102" s="334"/>
      <c r="BF102" s="334"/>
      <c r="BG102" s="334"/>
      <c r="BH102" s="334"/>
    </row>
    <row r="103" spans="1:60" ht="15.75" customHeight="1" x14ac:dyDescent="0.25">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AZ103" s="334"/>
      <c r="BA103" s="334"/>
      <c r="BB103" s="334"/>
      <c r="BC103" s="334"/>
      <c r="BD103" s="334"/>
      <c r="BE103" s="334"/>
      <c r="BF103" s="334"/>
      <c r="BG103" s="334"/>
      <c r="BH103" s="334"/>
    </row>
    <row r="104" spans="1:60" ht="15.75" customHeight="1" x14ac:dyDescent="0.25">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4"/>
      <c r="AX104" s="334"/>
      <c r="AY104" s="334"/>
      <c r="AZ104" s="334"/>
      <c r="BA104" s="334"/>
      <c r="BB104" s="334"/>
      <c r="BC104" s="334"/>
      <c r="BD104" s="334"/>
      <c r="BE104" s="334"/>
      <c r="BF104" s="334"/>
      <c r="BG104" s="334"/>
      <c r="BH104" s="334"/>
    </row>
    <row r="105" spans="1:60" ht="15.75" customHeight="1" x14ac:dyDescent="0.25">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4"/>
      <c r="AX105" s="334"/>
      <c r="AY105" s="334"/>
      <c r="AZ105" s="334"/>
      <c r="BA105" s="334"/>
      <c r="BB105" s="334"/>
      <c r="BC105" s="334"/>
      <c r="BD105" s="334"/>
      <c r="BE105" s="334"/>
      <c r="BF105" s="334"/>
      <c r="BG105" s="334"/>
      <c r="BH105" s="334"/>
    </row>
    <row r="106" spans="1:60" ht="15.75" customHeight="1" x14ac:dyDescent="0.25">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4"/>
      <c r="BC106" s="334"/>
      <c r="BD106" s="334"/>
      <c r="BE106" s="334"/>
      <c r="BF106" s="334"/>
      <c r="BG106" s="334"/>
      <c r="BH106" s="334"/>
    </row>
    <row r="107" spans="1:60" ht="15.75" customHeight="1" x14ac:dyDescent="0.25">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4"/>
      <c r="BC107" s="334"/>
      <c r="BD107" s="334"/>
      <c r="BE107" s="334"/>
      <c r="BF107" s="334"/>
      <c r="BG107" s="334"/>
      <c r="BH107" s="334"/>
    </row>
    <row r="108" spans="1:60" ht="15.75" customHeight="1" x14ac:dyDescent="0.25">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4"/>
      <c r="BC108" s="334"/>
      <c r="BD108" s="334"/>
      <c r="BE108" s="334"/>
      <c r="BF108" s="334"/>
      <c r="BG108" s="334"/>
      <c r="BH108" s="334"/>
    </row>
    <row r="109" spans="1:60" ht="15.75" customHeight="1" x14ac:dyDescent="0.25">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4"/>
      <c r="AX109" s="334"/>
      <c r="AY109" s="334"/>
      <c r="AZ109" s="334"/>
      <c r="BA109" s="334"/>
      <c r="BB109" s="334"/>
      <c r="BC109" s="334"/>
      <c r="BD109" s="334"/>
      <c r="BE109" s="334"/>
      <c r="BF109" s="334"/>
      <c r="BG109" s="334"/>
      <c r="BH109" s="334"/>
    </row>
    <row r="110" spans="1:60" ht="15.75" customHeight="1" x14ac:dyDescent="0.25">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4"/>
      <c r="BC110" s="334"/>
      <c r="BD110" s="334"/>
      <c r="BE110" s="334"/>
      <c r="BF110" s="334"/>
      <c r="BG110" s="334"/>
      <c r="BH110" s="334"/>
    </row>
    <row r="111" spans="1:60" ht="15.75" customHeight="1" x14ac:dyDescent="0.25">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4"/>
      <c r="AX111" s="334"/>
      <c r="AY111" s="334"/>
      <c r="AZ111" s="334"/>
      <c r="BA111" s="334"/>
      <c r="BB111" s="334"/>
      <c r="BC111" s="334"/>
      <c r="BD111" s="334"/>
      <c r="BE111" s="334"/>
      <c r="BF111" s="334"/>
      <c r="BG111" s="334"/>
      <c r="BH111" s="334"/>
    </row>
    <row r="112" spans="1:60" ht="15.75" customHeight="1" x14ac:dyDescent="0.25">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4"/>
      <c r="BC112" s="334"/>
      <c r="BD112" s="334"/>
      <c r="BE112" s="334"/>
      <c r="BF112" s="334"/>
      <c r="BG112" s="334"/>
      <c r="BH112" s="334"/>
    </row>
    <row r="113" spans="1:60" ht="15.75" customHeight="1" x14ac:dyDescent="0.25">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AZ113" s="334"/>
      <c r="BA113" s="334"/>
      <c r="BB113" s="334"/>
      <c r="BC113" s="334"/>
      <c r="BD113" s="334"/>
      <c r="BE113" s="334"/>
      <c r="BF113" s="334"/>
      <c r="BG113" s="334"/>
      <c r="BH113" s="334"/>
    </row>
    <row r="114" spans="1:60" ht="15.75" customHeight="1" x14ac:dyDescent="0.25">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4"/>
      <c r="AX114" s="334"/>
      <c r="AY114" s="334"/>
      <c r="AZ114" s="334"/>
      <c r="BA114" s="334"/>
      <c r="BB114" s="334"/>
      <c r="BC114" s="334"/>
      <c r="BD114" s="334"/>
      <c r="BE114" s="334"/>
      <c r="BF114" s="334"/>
      <c r="BG114" s="334"/>
      <c r="BH114" s="334"/>
    </row>
    <row r="115" spans="1:60" ht="15.75" customHeight="1" x14ac:dyDescent="0.25">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4"/>
      <c r="BC115" s="334"/>
      <c r="BD115" s="334"/>
      <c r="BE115" s="334"/>
      <c r="BF115" s="334"/>
      <c r="BG115" s="334"/>
      <c r="BH115" s="334"/>
    </row>
    <row r="116" spans="1:60" ht="15.75" customHeight="1" x14ac:dyDescent="0.25">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4"/>
      <c r="BC116" s="334"/>
      <c r="BD116" s="334"/>
      <c r="BE116" s="334"/>
      <c r="BF116" s="334"/>
      <c r="BG116" s="334"/>
      <c r="BH116" s="334"/>
    </row>
    <row r="117" spans="1:60" ht="15.75" customHeight="1" x14ac:dyDescent="0.25">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4"/>
      <c r="AX117" s="334"/>
      <c r="AY117" s="334"/>
      <c r="AZ117" s="334"/>
      <c r="BA117" s="334"/>
      <c r="BB117" s="334"/>
      <c r="BC117" s="334"/>
      <c r="BD117" s="334"/>
      <c r="BE117" s="334"/>
      <c r="BF117" s="334"/>
      <c r="BG117" s="334"/>
      <c r="BH117" s="334"/>
    </row>
    <row r="118" spans="1:60" ht="15.75" customHeight="1" x14ac:dyDescent="0.25">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4"/>
      <c r="AX118" s="334"/>
      <c r="AY118" s="334"/>
      <c r="AZ118" s="334"/>
      <c r="BA118" s="334"/>
      <c r="BB118" s="334"/>
      <c r="BC118" s="334"/>
      <c r="BD118" s="334"/>
      <c r="BE118" s="334"/>
      <c r="BF118" s="334"/>
      <c r="BG118" s="334"/>
      <c r="BH118" s="334"/>
    </row>
    <row r="119" spans="1:60" ht="15.75" customHeight="1" x14ac:dyDescent="0.25">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4"/>
      <c r="BC119" s="334"/>
      <c r="BD119" s="334"/>
      <c r="BE119" s="334"/>
      <c r="BF119" s="334"/>
      <c r="BG119" s="334"/>
      <c r="BH119" s="334"/>
    </row>
    <row r="120" spans="1:60" ht="15.75" customHeight="1" x14ac:dyDescent="0.25">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c r="AE120" s="334"/>
      <c r="AF120" s="334"/>
      <c r="AG120" s="334"/>
      <c r="AH120" s="334"/>
      <c r="AI120" s="334"/>
      <c r="AJ120" s="334"/>
      <c r="AK120" s="334"/>
      <c r="AL120" s="334"/>
      <c r="AM120" s="334"/>
      <c r="AN120" s="334"/>
      <c r="AO120" s="334"/>
      <c r="AP120" s="334"/>
      <c r="AQ120" s="334"/>
      <c r="AR120" s="334"/>
      <c r="AS120" s="334"/>
      <c r="AT120" s="334"/>
      <c r="AU120" s="334"/>
      <c r="AV120" s="334"/>
      <c r="AW120" s="334"/>
      <c r="AX120" s="334"/>
      <c r="AY120" s="334"/>
      <c r="AZ120" s="334"/>
      <c r="BA120" s="334"/>
      <c r="BB120" s="334"/>
      <c r="BC120" s="334"/>
      <c r="BD120" s="334"/>
      <c r="BE120" s="334"/>
      <c r="BF120" s="334"/>
      <c r="BG120" s="334"/>
      <c r="BH120" s="334"/>
    </row>
    <row r="121" spans="1:60" ht="15.75" customHeight="1" x14ac:dyDescent="0.25">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c r="AE121" s="334"/>
      <c r="AF121" s="334"/>
      <c r="AG121" s="334"/>
      <c r="AH121" s="334"/>
      <c r="AI121" s="334"/>
      <c r="AJ121" s="334"/>
      <c r="AK121" s="334"/>
      <c r="AL121" s="334"/>
      <c r="AM121" s="334"/>
      <c r="AN121" s="334"/>
      <c r="AO121" s="334"/>
      <c r="AP121" s="334"/>
      <c r="AQ121" s="334"/>
      <c r="AR121" s="334"/>
      <c r="AS121" s="334"/>
      <c r="AT121" s="334"/>
      <c r="AU121" s="334"/>
      <c r="AV121" s="334"/>
      <c r="AW121" s="334"/>
      <c r="AX121" s="334"/>
      <c r="AY121" s="334"/>
      <c r="AZ121" s="334"/>
      <c r="BA121" s="334"/>
      <c r="BB121" s="334"/>
      <c r="BC121" s="334"/>
      <c r="BD121" s="334"/>
      <c r="BE121" s="334"/>
      <c r="BF121" s="334"/>
      <c r="BG121" s="334"/>
      <c r="BH121" s="334"/>
    </row>
    <row r="122" spans="1:60" ht="15.75" customHeight="1" x14ac:dyDescent="0.25">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4"/>
      <c r="AL122" s="334"/>
      <c r="AM122" s="334"/>
      <c r="AN122" s="334"/>
      <c r="AO122" s="334"/>
      <c r="AP122" s="334"/>
      <c r="AQ122" s="334"/>
      <c r="AR122" s="334"/>
      <c r="AS122" s="334"/>
      <c r="AT122" s="334"/>
      <c r="AU122" s="334"/>
      <c r="AV122" s="334"/>
      <c r="AW122" s="334"/>
      <c r="AX122" s="334"/>
      <c r="AY122" s="334"/>
      <c r="AZ122" s="334"/>
      <c r="BA122" s="334"/>
      <c r="BB122" s="334"/>
      <c r="BC122" s="334"/>
      <c r="BD122" s="334"/>
      <c r="BE122" s="334"/>
      <c r="BF122" s="334"/>
      <c r="BG122" s="334"/>
      <c r="BH122" s="334"/>
    </row>
    <row r="123" spans="1:60" ht="15.75" customHeight="1" x14ac:dyDescent="0.25">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c r="AE123" s="334"/>
      <c r="AF123" s="334"/>
      <c r="AG123" s="334"/>
      <c r="AH123" s="334"/>
      <c r="AI123" s="334"/>
      <c r="AJ123" s="334"/>
      <c r="AK123" s="334"/>
      <c r="AL123" s="334"/>
      <c r="AM123" s="334"/>
      <c r="AN123" s="334"/>
      <c r="AO123" s="334"/>
      <c r="AP123" s="334"/>
      <c r="AQ123" s="334"/>
      <c r="AR123" s="334"/>
      <c r="AS123" s="334"/>
      <c r="AT123" s="334"/>
      <c r="AU123" s="334"/>
      <c r="AV123" s="334"/>
      <c r="AW123" s="334"/>
      <c r="AX123" s="334"/>
      <c r="AY123" s="334"/>
      <c r="AZ123" s="334"/>
      <c r="BA123" s="334"/>
      <c r="BB123" s="334"/>
      <c r="BC123" s="334"/>
      <c r="BD123" s="334"/>
      <c r="BE123" s="334"/>
      <c r="BF123" s="334"/>
      <c r="BG123" s="334"/>
      <c r="BH123" s="334"/>
    </row>
    <row r="124" spans="1:60" ht="15.75" customHeight="1" x14ac:dyDescent="0.25">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c r="AE124" s="334"/>
      <c r="AF124" s="334"/>
      <c r="AG124" s="334"/>
      <c r="AH124" s="334"/>
      <c r="AI124" s="334"/>
      <c r="AJ124" s="334"/>
      <c r="AK124" s="334"/>
      <c r="AL124" s="334"/>
      <c r="AM124" s="334"/>
      <c r="AN124" s="334"/>
      <c r="AO124" s="334"/>
      <c r="AP124" s="334"/>
      <c r="AQ124" s="334"/>
      <c r="AR124" s="334"/>
      <c r="AS124" s="334"/>
      <c r="AT124" s="334"/>
      <c r="AU124" s="334"/>
      <c r="AV124" s="334"/>
      <c r="AW124" s="334"/>
      <c r="AX124" s="334"/>
      <c r="AY124" s="334"/>
      <c r="AZ124" s="334"/>
      <c r="BA124" s="334"/>
      <c r="BB124" s="334"/>
      <c r="BC124" s="334"/>
      <c r="BD124" s="334"/>
      <c r="BE124" s="334"/>
      <c r="BF124" s="334"/>
      <c r="BG124" s="334"/>
      <c r="BH124" s="334"/>
    </row>
    <row r="125" spans="1:60" ht="15.75" customHeight="1" x14ac:dyDescent="0.25">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c r="AE125" s="334"/>
      <c r="AF125" s="334"/>
      <c r="AG125" s="334"/>
      <c r="AH125" s="334"/>
      <c r="AI125" s="334"/>
      <c r="AJ125" s="334"/>
      <c r="AK125" s="334"/>
      <c r="AL125" s="334"/>
      <c r="AM125" s="334"/>
      <c r="AN125" s="334"/>
      <c r="AO125" s="334"/>
      <c r="AP125" s="334"/>
      <c r="AQ125" s="334"/>
      <c r="AR125" s="334"/>
      <c r="AS125" s="334"/>
      <c r="AT125" s="334"/>
      <c r="AU125" s="334"/>
      <c r="AV125" s="334"/>
      <c r="AW125" s="334"/>
      <c r="AX125" s="334"/>
      <c r="AY125" s="334"/>
      <c r="AZ125" s="334"/>
      <c r="BA125" s="334"/>
      <c r="BB125" s="334"/>
      <c r="BC125" s="334"/>
      <c r="BD125" s="334"/>
      <c r="BE125" s="334"/>
      <c r="BF125" s="334"/>
      <c r="BG125" s="334"/>
      <c r="BH125" s="334"/>
    </row>
    <row r="126" spans="1:60" ht="15.75" customHeight="1" x14ac:dyDescent="0.25">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c r="AE126" s="334"/>
      <c r="AF126" s="334"/>
      <c r="AG126" s="334"/>
      <c r="AH126" s="334"/>
      <c r="AI126" s="334"/>
      <c r="AJ126" s="334"/>
      <c r="AK126" s="334"/>
      <c r="AL126" s="334"/>
      <c r="AM126" s="334"/>
      <c r="AN126" s="334"/>
      <c r="AO126" s="334"/>
      <c r="AP126" s="334"/>
      <c r="AQ126" s="334"/>
      <c r="AR126" s="334"/>
      <c r="AS126" s="334"/>
      <c r="AT126" s="334"/>
      <c r="AU126" s="334"/>
      <c r="AV126" s="334"/>
      <c r="AW126" s="334"/>
      <c r="AX126" s="334"/>
      <c r="AY126" s="334"/>
      <c r="AZ126" s="334"/>
      <c r="BA126" s="334"/>
      <c r="BB126" s="334"/>
      <c r="BC126" s="334"/>
      <c r="BD126" s="334"/>
      <c r="BE126" s="334"/>
      <c r="BF126" s="334"/>
      <c r="BG126" s="334"/>
      <c r="BH126" s="334"/>
    </row>
    <row r="127" spans="1:60" ht="15.75" customHeight="1" x14ac:dyDescent="0.25">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c r="AE127" s="334"/>
      <c r="AF127" s="334"/>
      <c r="AG127" s="334"/>
      <c r="AH127" s="334"/>
      <c r="AI127" s="334"/>
      <c r="AJ127" s="334"/>
      <c r="AK127" s="334"/>
      <c r="AL127" s="334"/>
      <c r="AM127" s="334"/>
      <c r="AN127" s="334"/>
      <c r="AO127" s="334"/>
      <c r="AP127" s="334"/>
      <c r="AQ127" s="334"/>
      <c r="AR127" s="334"/>
      <c r="AS127" s="334"/>
      <c r="AT127" s="334"/>
      <c r="AU127" s="334"/>
      <c r="AV127" s="334"/>
      <c r="AW127" s="334"/>
      <c r="AX127" s="334"/>
      <c r="AY127" s="334"/>
      <c r="AZ127" s="334"/>
      <c r="BA127" s="334"/>
      <c r="BB127" s="334"/>
      <c r="BC127" s="334"/>
      <c r="BD127" s="334"/>
      <c r="BE127" s="334"/>
      <c r="BF127" s="334"/>
      <c r="BG127" s="334"/>
      <c r="BH127" s="334"/>
    </row>
    <row r="128" spans="1:60" ht="15.75" customHeight="1" x14ac:dyDescent="0.25">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c r="AE128" s="334"/>
      <c r="AF128" s="334"/>
      <c r="AG128" s="334"/>
      <c r="AH128" s="334"/>
      <c r="AI128" s="334"/>
      <c r="AJ128" s="334"/>
      <c r="AK128" s="334"/>
      <c r="AL128" s="334"/>
      <c r="AM128" s="334"/>
      <c r="AN128" s="334"/>
      <c r="AO128" s="334"/>
      <c r="AP128" s="334"/>
      <c r="AQ128" s="334"/>
      <c r="AR128" s="334"/>
      <c r="AS128" s="334"/>
      <c r="AT128" s="334"/>
      <c r="AU128" s="334"/>
      <c r="AV128" s="334"/>
      <c r="AW128" s="334"/>
      <c r="AX128" s="334"/>
      <c r="AY128" s="334"/>
      <c r="AZ128" s="334"/>
      <c r="BA128" s="334"/>
      <c r="BB128" s="334"/>
      <c r="BC128" s="334"/>
      <c r="BD128" s="334"/>
      <c r="BE128" s="334"/>
      <c r="BF128" s="334"/>
      <c r="BG128" s="334"/>
      <c r="BH128" s="334"/>
    </row>
    <row r="129" spans="1:60" ht="15.75" customHeight="1" x14ac:dyDescent="0.25">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c r="AE129" s="334"/>
      <c r="AF129" s="334"/>
      <c r="AG129" s="334"/>
      <c r="AH129" s="334"/>
      <c r="AI129" s="334"/>
      <c r="AJ129" s="334"/>
      <c r="AK129" s="334"/>
      <c r="AL129" s="334"/>
      <c r="AM129" s="334"/>
      <c r="AN129" s="334"/>
      <c r="AO129" s="334"/>
      <c r="AP129" s="334"/>
      <c r="AQ129" s="334"/>
      <c r="AR129" s="334"/>
      <c r="AS129" s="334"/>
      <c r="AT129" s="334"/>
      <c r="AU129" s="334"/>
      <c r="AV129" s="334"/>
      <c r="AW129" s="334"/>
      <c r="AX129" s="334"/>
      <c r="AY129" s="334"/>
      <c r="AZ129" s="334"/>
      <c r="BA129" s="334"/>
      <c r="BB129" s="334"/>
      <c r="BC129" s="334"/>
      <c r="BD129" s="334"/>
      <c r="BE129" s="334"/>
      <c r="BF129" s="334"/>
      <c r="BG129" s="334"/>
      <c r="BH129" s="334"/>
    </row>
    <row r="130" spans="1:60" ht="15.75" customHeight="1" x14ac:dyDescent="0.25">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c r="AE130" s="334"/>
      <c r="AF130" s="334"/>
      <c r="AG130" s="334"/>
      <c r="AH130" s="334"/>
      <c r="AI130" s="334"/>
      <c r="AJ130" s="334"/>
      <c r="AK130" s="334"/>
      <c r="AL130" s="334"/>
      <c r="AM130" s="334"/>
      <c r="AN130" s="334"/>
      <c r="AO130" s="334"/>
      <c r="AP130" s="334"/>
      <c r="AQ130" s="334"/>
      <c r="AR130" s="334"/>
      <c r="AS130" s="334"/>
      <c r="AT130" s="334"/>
      <c r="AU130" s="334"/>
      <c r="AV130" s="334"/>
      <c r="AW130" s="334"/>
      <c r="AX130" s="334"/>
      <c r="AY130" s="334"/>
      <c r="AZ130" s="334"/>
      <c r="BA130" s="334"/>
      <c r="BB130" s="334"/>
      <c r="BC130" s="334"/>
      <c r="BD130" s="334"/>
      <c r="BE130" s="334"/>
      <c r="BF130" s="334"/>
      <c r="BG130" s="334"/>
      <c r="BH130" s="334"/>
    </row>
    <row r="131" spans="1:60" ht="15.75" customHeight="1" x14ac:dyDescent="0.25">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c r="AE131" s="334"/>
      <c r="AF131" s="334"/>
      <c r="AG131" s="334"/>
      <c r="AH131" s="334"/>
      <c r="AI131" s="334"/>
      <c r="AJ131" s="334"/>
      <c r="AK131" s="334"/>
      <c r="AL131" s="334"/>
      <c r="AM131" s="334"/>
      <c r="AN131" s="334"/>
      <c r="AO131" s="334"/>
      <c r="AP131" s="334"/>
      <c r="AQ131" s="334"/>
      <c r="AR131" s="334"/>
      <c r="AS131" s="334"/>
      <c r="AT131" s="334"/>
      <c r="AU131" s="334"/>
      <c r="AV131" s="334"/>
      <c r="AW131" s="334"/>
      <c r="AX131" s="334"/>
      <c r="AY131" s="334"/>
      <c r="AZ131" s="334"/>
      <c r="BA131" s="334"/>
      <c r="BB131" s="334"/>
      <c r="BC131" s="334"/>
      <c r="BD131" s="334"/>
      <c r="BE131" s="334"/>
      <c r="BF131" s="334"/>
      <c r="BG131" s="334"/>
      <c r="BH131" s="334"/>
    </row>
    <row r="132" spans="1:60" ht="15.75" customHeight="1" x14ac:dyDescent="0.25">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c r="AE132" s="334"/>
      <c r="AF132" s="334"/>
      <c r="AG132" s="334"/>
      <c r="AH132" s="334"/>
      <c r="AI132" s="334"/>
      <c r="AJ132" s="334"/>
      <c r="AK132" s="334"/>
      <c r="AL132" s="334"/>
      <c r="AM132" s="334"/>
      <c r="AN132" s="334"/>
      <c r="AO132" s="334"/>
      <c r="AP132" s="334"/>
      <c r="AQ132" s="334"/>
      <c r="AR132" s="334"/>
      <c r="AS132" s="334"/>
      <c r="AT132" s="334"/>
      <c r="AU132" s="334"/>
      <c r="AV132" s="334"/>
      <c r="AW132" s="334"/>
      <c r="AX132" s="334"/>
      <c r="AY132" s="334"/>
      <c r="AZ132" s="334"/>
      <c r="BA132" s="334"/>
      <c r="BB132" s="334"/>
      <c r="BC132" s="334"/>
      <c r="BD132" s="334"/>
      <c r="BE132" s="334"/>
      <c r="BF132" s="334"/>
      <c r="BG132" s="334"/>
      <c r="BH132" s="334"/>
    </row>
    <row r="133" spans="1:60" ht="15.75" customHeight="1" x14ac:dyDescent="0.25">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c r="AE133" s="334"/>
      <c r="AF133" s="334"/>
      <c r="AG133" s="334"/>
      <c r="AH133" s="334"/>
      <c r="AI133" s="334"/>
      <c r="AJ133" s="334"/>
      <c r="AK133" s="334"/>
      <c r="AL133" s="334"/>
      <c r="AM133" s="334"/>
      <c r="AN133" s="334"/>
      <c r="AO133" s="334"/>
      <c r="AP133" s="334"/>
      <c r="AQ133" s="334"/>
      <c r="AR133" s="334"/>
      <c r="AS133" s="334"/>
      <c r="AT133" s="334"/>
      <c r="AU133" s="334"/>
      <c r="AV133" s="334"/>
      <c r="AW133" s="334"/>
      <c r="AX133" s="334"/>
      <c r="AY133" s="334"/>
      <c r="AZ133" s="334"/>
      <c r="BA133" s="334"/>
      <c r="BB133" s="334"/>
      <c r="BC133" s="334"/>
      <c r="BD133" s="334"/>
      <c r="BE133" s="334"/>
      <c r="BF133" s="334"/>
      <c r="BG133" s="334"/>
      <c r="BH133" s="334"/>
    </row>
    <row r="134" spans="1:60" ht="15.75" customHeight="1" x14ac:dyDescent="0.25">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c r="AE134" s="334"/>
      <c r="AF134" s="334"/>
      <c r="AG134" s="334"/>
      <c r="AH134" s="334"/>
      <c r="AI134" s="334"/>
      <c r="AJ134" s="334"/>
      <c r="AK134" s="334"/>
      <c r="AL134" s="334"/>
      <c r="AM134" s="334"/>
      <c r="AN134" s="334"/>
      <c r="AO134" s="334"/>
      <c r="AP134" s="334"/>
      <c r="AQ134" s="334"/>
      <c r="AR134" s="334"/>
      <c r="AS134" s="334"/>
      <c r="AT134" s="334"/>
      <c r="AU134" s="334"/>
      <c r="AV134" s="334"/>
      <c r="AW134" s="334"/>
      <c r="AX134" s="334"/>
      <c r="AY134" s="334"/>
      <c r="AZ134" s="334"/>
      <c r="BA134" s="334"/>
      <c r="BB134" s="334"/>
      <c r="BC134" s="334"/>
      <c r="BD134" s="334"/>
      <c r="BE134" s="334"/>
      <c r="BF134" s="334"/>
      <c r="BG134" s="334"/>
      <c r="BH134" s="334"/>
    </row>
    <row r="135" spans="1:60" ht="15.75" customHeight="1" x14ac:dyDescent="0.25">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c r="AE135" s="334"/>
      <c r="AF135" s="334"/>
      <c r="AG135" s="334"/>
      <c r="AH135" s="334"/>
      <c r="AI135" s="334"/>
      <c r="AJ135" s="334"/>
      <c r="AK135" s="334"/>
      <c r="AL135" s="334"/>
      <c r="AM135" s="334"/>
      <c r="AN135" s="334"/>
      <c r="AO135" s="334"/>
      <c r="AP135" s="334"/>
      <c r="AQ135" s="334"/>
      <c r="AR135" s="334"/>
      <c r="AS135" s="334"/>
      <c r="AT135" s="334"/>
      <c r="AU135" s="334"/>
      <c r="AV135" s="334"/>
      <c r="AW135" s="334"/>
      <c r="AX135" s="334"/>
      <c r="AY135" s="334"/>
      <c r="AZ135" s="334"/>
      <c r="BA135" s="334"/>
      <c r="BB135" s="334"/>
      <c r="BC135" s="334"/>
      <c r="BD135" s="334"/>
      <c r="BE135" s="334"/>
      <c r="BF135" s="334"/>
      <c r="BG135" s="334"/>
      <c r="BH135" s="334"/>
    </row>
    <row r="136" spans="1:60" ht="15.75" customHeight="1" x14ac:dyDescent="0.25">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c r="AE136" s="334"/>
      <c r="AF136" s="334"/>
      <c r="AG136" s="334"/>
      <c r="AH136" s="334"/>
      <c r="AI136" s="334"/>
      <c r="AJ136" s="334"/>
      <c r="AK136" s="334"/>
      <c r="AL136" s="334"/>
      <c r="AM136" s="334"/>
      <c r="AN136" s="334"/>
      <c r="AO136" s="334"/>
      <c r="AP136" s="334"/>
      <c r="AQ136" s="334"/>
      <c r="AR136" s="334"/>
      <c r="AS136" s="334"/>
      <c r="AT136" s="334"/>
      <c r="AU136" s="334"/>
      <c r="AV136" s="334"/>
      <c r="AW136" s="334"/>
      <c r="AX136" s="334"/>
      <c r="AY136" s="334"/>
      <c r="AZ136" s="334"/>
      <c r="BA136" s="334"/>
      <c r="BB136" s="334"/>
      <c r="BC136" s="334"/>
      <c r="BD136" s="334"/>
      <c r="BE136" s="334"/>
      <c r="BF136" s="334"/>
      <c r="BG136" s="334"/>
      <c r="BH136" s="334"/>
    </row>
    <row r="137" spans="1:60" ht="15.75" customHeight="1" x14ac:dyDescent="0.25">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c r="AE137" s="334"/>
      <c r="AF137" s="334"/>
      <c r="AG137" s="334"/>
      <c r="AH137" s="334"/>
      <c r="AI137" s="334"/>
      <c r="AJ137" s="334"/>
      <c r="AK137" s="334"/>
      <c r="AL137" s="334"/>
      <c r="AM137" s="334"/>
      <c r="AN137" s="334"/>
      <c r="AO137" s="334"/>
      <c r="AP137" s="334"/>
      <c r="AQ137" s="334"/>
      <c r="AR137" s="334"/>
      <c r="AS137" s="334"/>
      <c r="AT137" s="334"/>
      <c r="AU137" s="334"/>
      <c r="AV137" s="334"/>
      <c r="AW137" s="334"/>
      <c r="AX137" s="334"/>
      <c r="AY137" s="334"/>
      <c r="AZ137" s="334"/>
      <c r="BA137" s="334"/>
      <c r="BB137" s="334"/>
      <c r="BC137" s="334"/>
      <c r="BD137" s="334"/>
      <c r="BE137" s="334"/>
      <c r="BF137" s="334"/>
      <c r="BG137" s="334"/>
      <c r="BH137" s="334"/>
    </row>
    <row r="138" spans="1:60" ht="15.75" customHeight="1" x14ac:dyDescent="0.25">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c r="AE138" s="334"/>
      <c r="AF138" s="334"/>
      <c r="AG138" s="334"/>
      <c r="AH138" s="334"/>
      <c r="AI138" s="334"/>
      <c r="AJ138" s="334"/>
      <c r="AK138" s="334"/>
      <c r="AL138" s="334"/>
      <c r="AM138" s="334"/>
      <c r="AN138" s="334"/>
      <c r="AO138" s="334"/>
      <c r="AP138" s="334"/>
      <c r="AQ138" s="334"/>
      <c r="AR138" s="334"/>
      <c r="AS138" s="334"/>
      <c r="AT138" s="334"/>
      <c r="AU138" s="334"/>
      <c r="AV138" s="334"/>
      <c r="AW138" s="334"/>
      <c r="AX138" s="334"/>
      <c r="AY138" s="334"/>
      <c r="AZ138" s="334"/>
      <c r="BA138" s="334"/>
      <c r="BB138" s="334"/>
      <c r="BC138" s="334"/>
      <c r="BD138" s="334"/>
      <c r="BE138" s="334"/>
      <c r="BF138" s="334"/>
      <c r="BG138" s="334"/>
      <c r="BH138" s="334"/>
    </row>
    <row r="139" spans="1:60" ht="15.75" customHeight="1" x14ac:dyDescent="0.25">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c r="AE139" s="334"/>
      <c r="AF139" s="334"/>
      <c r="AG139" s="334"/>
      <c r="AH139" s="334"/>
      <c r="AI139" s="334"/>
      <c r="AJ139" s="334"/>
      <c r="AK139" s="334"/>
      <c r="AL139" s="334"/>
      <c r="AM139" s="334"/>
      <c r="AN139" s="334"/>
      <c r="AO139" s="334"/>
      <c r="AP139" s="334"/>
      <c r="AQ139" s="334"/>
      <c r="AR139" s="334"/>
      <c r="AS139" s="334"/>
      <c r="AT139" s="334"/>
      <c r="AU139" s="334"/>
      <c r="AV139" s="334"/>
      <c r="AW139" s="334"/>
      <c r="AX139" s="334"/>
      <c r="AY139" s="334"/>
      <c r="AZ139" s="334"/>
      <c r="BA139" s="334"/>
      <c r="BB139" s="334"/>
      <c r="BC139" s="334"/>
      <c r="BD139" s="334"/>
      <c r="BE139" s="334"/>
      <c r="BF139" s="334"/>
      <c r="BG139" s="334"/>
      <c r="BH139" s="334"/>
    </row>
    <row r="140" spans="1:60" ht="15.75" customHeight="1" x14ac:dyDescent="0.25">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c r="AE140" s="334"/>
      <c r="AF140" s="334"/>
      <c r="AG140" s="334"/>
      <c r="AH140" s="334"/>
      <c r="AI140" s="334"/>
      <c r="AJ140" s="334"/>
      <c r="AK140" s="334"/>
      <c r="AL140" s="334"/>
      <c r="AM140" s="334"/>
      <c r="AN140" s="334"/>
      <c r="AO140" s="334"/>
      <c r="AP140" s="334"/>
      <c r="AQ140" s="334"/>
      <c r="AR140" s="334"/>
      <c r="AS140" s="334"/>
      <c r="AT140" s="334"/>
      <c r="AU140" s="334"/>
      <c r="AV140" s="334"/>
      <c r="AW140" s="334"/>
      <c r="AX140" s="334"/>
      <c r="AY140" s="334"/>
      <c r="AZ140" s="334"/>
      <c r="BA140" s="334"/>
      <c r="BB140" s="334"/>
      <c r="BC140" s="334"/>
      <c r="BD140" s="334"/>
      <c r="BE140" s="334"/>
      <c r="BF140" s="334"/>
      <c r="BG140" s="334"/>
      <c r="BH140" s="334"/>
    </row>
    <row r="141" spans="1:60" ht="15.75" customHeight="1" x14ac:dyDescent="0.25">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c r="AE141" s="334"/>
      <c r="AF141" s="334"/>
      <c r="AG141" s="334"/>
      <c r="AH141" s="334"/>
      <c r="AI141" s="334"/>
      <c r="AJ141" s="334"/>
      <c r="AK141" s="334"/>
      <c r="AL141" s="334"/>
      <c r="AM141" s="334"/>
      <c r="AN141" s="334"/>
      <c r="AO141" s="334"/>
      <c r="AP141" s="334"/>
      <c r="AQ141" s="334"/>
      <c r="AR141" s="334"/>
      <c r="AS141" s="334"/>
      <c r="AT141" s="334"/>
      <c r="AU141" s="334"/>
      <c r="AV141" s="334"/>
      <c r="AW141" s="334"/>
      <c r="AX141" s="334"/>
      <c r="AY141" s="334"/>
      <c r="AZ141" s="334"/>
      <c r="BA141" s="334"/>
      <c r="BB141" s="334"/>
      <c r="BC141" s="334"/>
      <c r="BD141" s="334"/>
      <c r="BE141" s="334"/>
      <c r="BF141" s="334"/>
      <c r="BG141" s="334"/>
      <c r="BH141" s="334"/>
    </row>
    <row r="142" spans="1:60" ht="15.75" customHeight="1" x14ac:dyDescent="0.25">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c r="AE142" s="334"/>
      <c r="AF142" s="334"/>
      <c r="AG142" s="334"/>
      <c r="AH142" s="334"/>
      <c r="AI142" s="334"/>
      <c r="AJ142" s="334"/>
      <c r="AK142" s="334"/>
      <c r="AL142" s="334"/>
      <c r="AM142" s="334"/>
      <c r="AN142" s="334"/>
      <c r="AO142" s="334"/>
      <c r="AP142" s="334"/>
      <c r="AQ142" s="334"/>
      <c r="AR142" s="334"/>
      <c r="AS142" s="334"/>
      <c r="AT142" s="334"/>
      <c r="AU142" s="334"/>
      <c r="AV142" s="334"/>
      <c r="AW142" s="334"/>
      <c r="AX142" s="334"/>
      <c r="AY142" s="334"/>
      <c r="AZ142" s="334"/>
      <c r="BA142" s="334"/>
      <c r="BB142" s="334"/>
      <c r="BC142" s="334"/>
      <c r="BD142" s="334"/>
      <c r="BE142" s="334"/>
      <c r="BF142" s="334"/>
      <c r="BG142" s="334"/>
      <c r="BH142" s="334"/>
    </row>
    <row r="143" spans="1:60" ht="15.75" customHeight="1" x14ac:dyDescent="0.25">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c r="AE143" s="334"/>
      <c r="AF143" s="334"/>
      <c r="AG143" s="334"/>
      <c r="AH143" s="334"/>
      <c r="AI143" s="334"/>
      <c r="AJ143" s="334"/>
      <c r="AK143" s="334"/>
      <c r="AL143" s="334"/>
      <c r="AM143" s="334"/>
      <c r="AN143" s="334"/>
      <c r="AO143" s="334"/>
      <c r="AP143" s="334"/>
      <c r="AQ143" s="334"/>
      <c r="AR143" s="334"/>
      <c r="AS143" s="334"/>
      <c r="AT143" s="334"/>
      <c r="AU143" s="334"/>
      <c r="AV143" s="334"/>
      <c r="AW143" s="334"/>
      <c r="AX143" s="334"/>
      <c r="AY143" s="334"/>
      <c r="AZ143" s="334"/>
      <c r="BA143" s="334"/>
      <c r="BB143" s="334"/>
      <c r="BC143" s="334"/>
      <c r="BD143" s="334"/>
      <c r="BE143" s="334"/>
      <c r="BF143" s="334"/>
      <c r="BG143" s="334"/>
      <c r="BH143" s="334"/>
    </row>
    <row r="144" spans="1:60" ht="15.75" customHeight="1" x14ac:dyDescent="0.25">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c r="AE144" s="334"/>
      <c r="AF144" s="334"/>
      <c r="AG144" s="334"/>
      <c r="AH144" s="334"/>
      <c r="AI144" s="334"/>
      <c r="AJ144" s="334"/>
      <c r="AK144" s="334"/>
      <c r="AL144" s="334"/>
      <c r="AM144" s="334"/>
      <c r="AN144" s="334"/>
      <c r="AO144" s="334"/>
      <c r="AP144" s="334"/>
      <c r="AQ144" s="334"/>
      <c r="AR144" s="334"/>
      <c r="AS144" s="334"/>
      <c r="AT144" s="334"/>
      <c r="AU144" s="334"/>
      <c r="AV144" s="334"/>
      <c r="AW144" s="334"/>
      <c r="AX144" s="334"/>
      <c r="AY144" s="334"/>
      <c r="AZ144" s="334"/>
      <c r="BA144" s="334"/>
      <c r="BB144" s="334"/>
      <c r="BC144" s="334"/>
      <c r="BD144" s="334"/>
      <c r="BE144" s="334"/>
      <c r="BF144" s="334"/>
      <c r="BG144" s="334"/>
      <c r="BH144" s="334"/>
    </row>
    <row r="145" spans="1:60" ht="15.75" customHeight="1" x14ac:dyDescent="0.25">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c r="AE145" s="334"/>
      <c r="AF145" s="334"/>
      <c r="AG145" s="334"/>
      <c r="AH145" s="334"/>
      <c r="AI145" s="334"/>
      <c r="AJ145" s="334"/>
      <c r="AK145" s="334"/>
      <c r="AL145" s="334"/>
      <c r="AM145" s="334"/>
      <c r="AN145" s="334"/>
      <c r="AO145" s="334"/>
      <c r="AP145" s="334"/>
      <c r="AQ145" s="334"/>
      <c r="AR145" s="334"/>
      <c r="AS145" s="334"/>
      <c r="AT145" s="334"/>
      <c r="AU145" s="334"/>
      <c r="AV145" s="334"/>
      <c r="AW145" s="334"/>
      <c r="AX145" s="334"/>
      <c r="AY145" s="334"/>
      <c r="AZ145" s="334"/>
      <c r="BA145" s="334"/>
      <c r="BB145" s="334"/>
      <c r="BC145" s="334"/>
      <c r="BD145" s="334"/>
      <c r="BE145" s="334"/>
      <c r="BF145" s="334"/>
      <c r="BG145" s="334"/>
      <c r="BH145" s="334"/>
    </row>
    <row r="146" spans="1:60" ht="15.75" customHeight="1" x14ac:dyDescent="0.25">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c r="AE146" s="334"/>
      <c r="AF146" s="334"/>
      <c r="AG146" s="334"/>
      <c r="AH146" s="334"/>
      <c r="AI146" s="334"/>
      <c r="AJ146" s="334"/>
      <c r="AK146" s="334"/>
      <c r="AL146" s="334"/>
      <c r="AM146" s="334"/>
      <c r="AN146" s="334"/>
      <c r="AO146" s="334"/>
      <c r="AP146" s="334"/>
      <c r="AQ146" s="334"/>
      <c r="AR146" s="334"/>
      <c r="AS146" s="334"/>
      <c r="AT146" s="334"/>
      <c r="AU146" s="334"/>
      <c r="AV146" s="334"/>
      <c r="AW146" s="334"/>
      <c r="AX146" s="334"/>
      <c r="AY146" s="334"/>
      <c r="AZ146" s="334"/>
      <c r="BA146" s="334"/>
      <c r="BB146" s="334"/>
      <c r="BC146" s="334"/>
      <c r="BD146" s="334"/>
      <c r="BE146" s="334"/>
      <c r="BF146" s="334"/>
      <c r="BG146" s="334"/>
      <c r="BH146" s="334"/>
    </row>
    <row r="147" spans="1:60" ht="15.75" customHeight="1" x14ac:dyDescent="0.25">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c r="AE147" s="334"/>
      <c r="AF147" s="334"/>
      <c r="AG147" s="334"/>
      <c r="AH147" s="334"/>
      <c r="AI147" s="334"/>
      <c r="AJ147" s="334"/>
      <c r="AK147" s="334"/>
      <c r="AL147" s="334"/>
      <c r="AM147" s="334"/>
      <c r="AN147" s="334"/>
      <c r="AO147" s="334"/>
      <c r="AP147" s="334"/>
      <c r="AQ147" s="334"/>
      <c r="AR147" s="334"/>
      <c r="AS147" s="334"/>
      <c r="AT147" s="334"/>
      <c r="AU147" s="334"/>
      <c r="AV147" s="334"/>
      <c r="AW147" s="334"/>
      <c r="AX147" s="334"/>
      <c r="AY147" s="334"/>
      <c r="AZ147" s="334"/>
      <c r="BA147" s="334"/>
      <c r="BB147" s="334"/>
      <c r="BC147" s="334"/>
      <c r="BD147" s="334"/>
      <c r="BE147" s="334"/>
      <c r="BF147" s="334"/>
      <c r="BG147" s="334"/>
      <c r="BH147" s="334"/>
    </row>
    <row r="148" spans="1:60" ht="15.75" customHeight="1" x14ac:dyDescent="0.25">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c r="AE148" s="334"/>
      <c r="AF148" s="334"/>
      <c r="AG148" s="334"/>
      <c r="AH148" s="334"/>
      <c r="AI148" s="334"/>
      <c r="AJ148" s="334"/>
      <c r="AK148" s="334"/>
      <c r="AL148" s="334"/>
      <c r="AM148" s="334"/>
      <c r="AN148" s="334"/>
      <c r="AO148" s="334"/>
      <c r="AP148" s="334"/>
      <c r="AQ148" s="334"/>
      <c r="AR148" s="334"/>
      <c r="AS148" s="334"/>
      <c r="AT148" s="334"/>
      <c r="AU148" s="334"/>
      <c r="AV148" s="334"/>
      <c r="AW148" s="334"/>
      <c r="AX148" s="334"/>
      <c r="AY148" s="334"/>
      <c r="AZ148" s="334"/>
      <c r="BA148" s="334"/>
      <c r="BB148" s="334"/>
      <c r="BC148" s="334"/>
      <c r="BD148" s="334"/>
      <c r="BE148" s="334"/>
      <c r="BF148" s="334"/>
      <c r="BG148" s="334"/>
      <c r="BH148" s="334"/>
    </row>
    <row r="149" spans="1:60" ht="15.75" customHeight="1" x14ac:dyDescent="0.25">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c r="AE149" s="334"/>
      <c r="AF149" s="334"/>
      <c r="AG149" s="334"/>
      <c r="AH149" s="334"/>
      <c r="AI149" s="334"/>
      <c r="AJ149" s="334"/>
      <c r="AK149" s="334"/>
      <c r="AL149" s="334"/>
      <c r="AM149" s="334"/>
      <c r="AN149" s="334"/>
      <c r="AO149" s="334"/>
      <c r="AP149" s="334"/>
      <c r="AQ149" s="334"/>
      <c r="AR149" s="334"/>
      <c r="AS149" s="334"/>
      <c r="AT149" s="334"/>
      <c r="AU149" s="334"/>
      <c r="AV149" s="334"/>
      <c r="AW149" s="334"/>
      <c r="AX149" s="334"/>
      <c r="AY149" s="334"/>
      <c r="AZ149" s="334"/>
      <c r="BA149" s="334"/>
      <c r="BB149" s="334"/>
      <c r="BC149" s="334"/>
      <c r="BD149" s="334"/>
      <c r="BE149" s="334"/>
      <c r="BF149" s="334"/>
      <c r="BG149" s="334"/>
      <c r="BH149" s="334"/>
    </row>
    <row r="150" spans="1:60" ht="15.75" customHeight="1" x14ac:dyDescent="0.25">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c r="AE150" s="334"/>
      <c r="AF150" s="334"/>
      <c r="AG150" s="334"/>
      <c r="AH150" s="334"/>
      <c r="AI150" s="334"/>
      <c r="AJ150" s="334"/>
      <c r="AK150" s="334"/>
      <c r="AL150" s="334"/>
      <c r="AM150" s="334"/>
      <c r="AN150" s="334"/>
      <c r="AO150" s="334"/>
      <c r="AP150" s="334"/>
      <c r="AQ150" s="334"/>
      <c r="AR150" s="334"/>
      <c r="AS150" s="334"/>
      <c r="AT150" s="334"/>
      <c r="AU150" s="334"/>
      <c r="AV150" s="334"/>
      <c r="AW150" s="334"/>
      <c r="AX150" s="334"/>
      <c r="AY150" s="334"/>
      <c r="AZ150" s="334"/>
      <c r="BA150" s="334"/>
      <c r="BB150" s="334"/>
      <c r="BC150" s="334"/>
      <c r="BD150" s="334"/>
      <c r="BE150" s="334"/>
      <c r="BF150" s="334"/>
      <c r="BG150" s="334"/>
      <c r="BH150" s="334"/>
    </row>
    <row r="151" spans="1:60" ht="15.75" customHeight="1" x14ac:dyDescent="0.25">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c r="AE151" s="334"/>
      <c r="AF151" s="334"/>
      <c r="AG151" s="334"/>
      <c r="AH151" s="334"/>
      <c r="AI151" s="334"/>
      <c r="AJ151" s="334"/>
      <c r="AK151" s="334"/>
      <c r="AL151" s="334"/>
      <c r="AM151" s="334"/>
      <c r="AN151" s="334"/>
      <c r="AO151" s="334"/>
      <c r="AP151" s="334"/>
      <c r="AQ151" s="334"/>
      <c r="AR151" s="334"/>
      <c r="AS151" s="334"/>
      <c r="AT151" s="334"/>
      <c r="AU151" s="334"/>
      <c r="AV151" s="334"/>
      <c r="AW151" s="334"/>
      <c r="AX151" s="334"/>
      <c r="AY151" s="334"/>
      <c r="AZ151" s="334"/>
      <c r="BA151" s="334"/>
      <c r="BB151" s="334"/>
      <c r="BC151" s="334"/>
      <c r="BD151" s="334"/>
      <c r="BE151" s="334"/>
      <c r="BF151" s="334"/>
      <c r="BG151" s="334"/>
      <c r="BH151" s="334"/>
    </row>
    <row r="152" spans="1:60" ht="15.75" customHeight="1" x14ac:dyDescent="0.25">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c r="AE152" s="334"/>
      <c r="AF152" s="334"/>
      <c r="AG152" s="334"/>
      <c r="AH152" s="334"/>
      <c r="AI152" s="334"/>
      <c r="AJ152" s="334"/>
      <c r="AK152" s="334"/>
      <c r="AL152" s="334"/>
      <c r="AM152" s="334"/>
      <c r="AN152" s="334"/>
      <c r="AO152" s="334"/>
      <c r="AP152" s="334"/>
      <c r="AQ152" s="334"/>
      <c r="AR152" s="334"/>
      <c r="AS152" s="334"/>
      <c r="AT152" s="334"/>
      <c r="AU152" s="334"/>
      <c r="AV152" s="334"/>
      <c r="AW152" s="334"/>
      <c r="AX152" s="334"/>
      <c r="AY152" s="334"/>
      <c r="AZ152" s="334"/>
      <c r="BA152" s="334"/>
      <c r="BB152" s="334"/>
      <c r="BC152" s="334"/>
      <c r="BD152" s="334"/>
      <c r="BE152" s="334"/>
      <c r="BF152" s="334"/>
      <c r="BG152" s="334"/>
      <c r="BH152" s="334"/>
    </row>
    <row r="153" spans="1:60" ht="15.75" customHeight="1" x14ac:dyDescent="0.25">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c r="AE153" s="334"/>
      <c r="AF153" s="334"/>
      <c r="AG153" s="334"/>
      <c r="AH153" s="334"/>
      <c r="AI153" s="334"/>
      <c r="AJ153" s="334"/>
      <c r="AK153" s="334"/>
      <c r="AL153" s="334"/>
      <c r="AM153" s="334"/>
      <c r="AN153" s="334"/>
      <c r="AO153" s="334"/>
      <c r="AP153" s="334"/>
      <c r="AQ153" s="334"/>
      <c r="AR153" s="334"/>
      <c r="AS153" s="334"/>
      <c r="AT153" s="334"/>
      <c r="AU153" s="334"/>
      <c r="AV153" s="334"/>
      <c r="AW153" s="334"/>
      <c r="AX153" s="334"/>
      <c r="AY153" s="334"/>
      <c r="AZ153" s="334"/>
      <c r="BA153" s="334"/>
      <c r="BB153" s="334"/>
      <c r="BC153" s="334"/>
      <c r="BD153" s="334"/>
      <c r="BE153" s="334"/>
      <c r="BF153" s="334"/>
      <c r="BG153" s="334"/>
      <c r="BH153" s="334"/>
    </row>
    <row r="154" spans="1:60" ht="15.75" customHeight="1" x14ac:dyDescent="0.25">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334"/>
      <c r="AF154" s="334"/>
      <c r="AG154" s="334"/>
      <c r="AH154" s="334"/>
      <c r="AI154" s="334"/>
      <c r="AJ154" s="334"/>
      <c r="AK154" s="334"/>
      <c r="AL154" s="334"/>
      <c r="AM154" s="334"/>
      <c r="AN154" s="334"/>
      <c r="AO154" s="334"/>
      <c r="AP154" s="334"/>
      <c r="AQ154" s="334"/>
      <c r="AR154" s="334"/>
      <c r="AS154" s="334"/>
      <c r="AT154" s="334"/>
      <c r="AU154" s="334"/>
      <c r="AV154" s="334"/>
      <c r="AW154" s="334"/>
      <c r="AX154" s="334"/>
      <c r="AY154" s="334"/>
      <c r="AZ154" s="334"/>
      <c r="BA154" s="334"/>
      <c r="BB154" s="334"/>
      <c r="BC154" s="334"/>
      <c r="BD154" s="334"/>
      <c r="BE154" s="334"/>
      <c r="BF154" s="334"/>
      <c r="BG154" s="334"/>
      <c r="BH154" s="334"/>
    </row>
    <row r="155" spans="1:60" ht="15.75" customHeight="1" x14ac:dyDescent="0.25">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c r="AE155" s="334"/>
      <c r="AF155" s="334"/>
      <c r="AG155" s="334"/>
      <c r="AH155" s="334"/>
      <c r="AI155" s="334"/>
      <c r="AJ155" s="334"/>
      <c r="AK155" s="334"/>
      <c r="AL155" s="334"/>
      <c r="AM155" s="334"/>
      <c r="AN155" s="334"/>
      <c r="AO155" s="334"/>
      <c r="AP155" s="334"/>
      <c r="AQ155" s="334"/>
      <c r="AR155" s="334"/>
      <c r="AS155" s="334"/>
      <c r="AT155" s="334"/>
      <c r="AU155" s="334"/>
      <c r="AV155" s="334"/>
      <c r="AW155" s="334"/>
      <c r="AX155" s="334"/>
      <c r="AY155" s="334"/>
      <c r="AZ155" s="334"/>
      <c r="BA155" s="334"/>
      <c r="BB155" s="334"/>
      <c r="BC155" s="334"/>
      <c r="BD155" s="334"/>
      <c r="BE155" s="334"/>
      <c r="BF155" s="334"/>
      <c r="BG155" s="334"/>
      <c r="BH155" s="334"/>
    </row>
    <row r="156" spans="1:60" ht="15.75" customHeight="1" x14ac:dyDescent="0.25">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c r="AE156" s="334"/>
      <c r="AF156" s="334"/>
      <c r="AG156" s="334"/>
      <c r="AH156" s="334"/>
      <c r="AI156" s="334"/>
      <c r="AJ156" s="334"/>
      <c r="AK156" s="334"/>
      <c r="AL156" s="334"/>
      <c r="AM156" s="334"/>
      <c r="AN156" s="334"/>
      <c r="AO156" s="334"/>
      <c r="AP156" s="334"/>
      <c r="AQ156" s="334"/>
      <c r="AR156" s="334"/>
      <c r="AS156" s="334"/>
      <c r="AT156" s="334"/>
      <c r="AU156" s="334"/>
      <c r="AV156" s="334"/>
      <c r="AW156" s="334"/>
      <c r="AX156" s="334"/>
      <c r="AY156" s="334"/>
      <c r="AZ156" s="334"/>
      <c r="BA156" s="334"/>
      <c r="BB156" s="334"/>
      <c r="BC156" s="334"/>
      <c r="BD156" s="334"/>
      <c r="BE156" s="334"/>
      <c r="BF156" s="334"/>
      <c r="BG156" s="334"/>
      <c r="BH156" s="334"/>
    </row>
    <row r="157" spans="1:60" ht="15.75" customHeight="1" x14ac:dyDescent="0.25">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c r="AE157" s="334"/>
      <c r="AF157" s="334"/>
      <c r="AG157" s="334"/>
      <c r="AH157" s="334"/>
      <c r="AI157" s="334"/>
      <c r="AJ157" s="334"/>
      <c r="AK157" s="334"/>
      <c r="AL157" s="334"/>
      <c r="AM157" s="334"/>
      <c r="AN157" s="334"/>
      <c r="AO157" s="334"/>
      <c r="AP157" s="334"/>
      <c r="AQ157" s="334"/>
      <c r="AR157" s="334"/>
      <c r="AS157" s="334"/>
      <c r="AT157" s="334"/>
      <c r="AU157" s="334"/>
      <c r="AV157" s="334"/>
      <c r="AW157" s="334"/>
      <c r="AX157" s="334"/>
      <c r="AY157" s="334"/>
      <c r="AZ157" s="334"/>
      <c r="BA157" s="334"/>
      <c r="BB157" s="334"/>
      <c r="BC157" s="334"/>
      <c r="BD157" s="334"/>
      <c r="BE157" s="334"/>
      <c r="BF157" s="334"/>
      <c r="BG157" s="334"/>
      <c r="BH157" s="334"/>
    </row>
    <row r="158" spans="1:60" ht="15.75" customHeight="1" x14ac:dyDescent="0.25">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c r="AE158" s="334"/>
      <c r="AF158" s="334"/>
      <c r="AG158" s="334"/>
      <c r="AH158" s="334"/>
      <c r="AI158" s="334"/>
      <c r="AJ158" s="334"/>
      <c r="AK158" s="334"/>
      <c r="AL158" s="334"/>
      <c r="AM158" s="334"/>
      <c r="AN158" s="334"/>
      <c r="AO158" s="334"/>
      <c r="AP158" s="334"/>
      <c r="AQ158" s="334"/>
      <c r="AR158" s="334"/>
      <c r="AS158" s="334"/>
      <c r="AT158" s="334"/>
      <c r="AU158" s="334"/>
      <c r="AV158" s="334"/>
      <c r="AW158" s="334"/>
      <c r="AX158" s="334"/>
      <c r="AY158" s="334"/>
      <c r="AZ158" s="334"/>
      <c r="BA158" s="334"/>
      <c r="BB158" s="334"/>
      <c r="BC158" s="334"/>
      <c r="BD158" s="334"/>
      <c r="BE158" s="334"/>
      <c r="BF158" s="334"/>
      <c r="BG158" s="334"/>
      <c r="BH158" s="334"/>
    </row>
    <row r="159" spans="1:60" ht="15.75" customHeight="1" x14ac:dyDescent="0.25">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c r="AE159" s="334"/>
      <c r="AF159" s="334"/>
      <c r="AG159" s="334"/>
      <c r="AH159" s="334"/>
      <c r="AI159" s="334"/>
      <c r="AJ159" s="334"/>
      <c r="AK159" s="334"/>
      <c r="AL159" s="334"/>
      <c r="AM159" s="334"/>
      <c r="AN159" s="334"/>
      <c r="AO159" s="334"/>
      <c r="AP159" s="334"/>
      <c r="AQ159" s="334"/>
      <c r="AR159" s="334"/>
      <c r="AS159" s="334"/>
      <c r="AT159" s="334"/>
      <c r="AU159" s="334"/>
      <c r="AV159" s="334"/>
      <c r="AW159" s="334"/>
      <c r="AX159" s="334"/>
      <c r="AY159" s="334"/>
      <c r="AZ159" s="334"/>
      <c r="BA159" s="334"/>
      <c r="BB159" s="334"/>
      <c r="BC159" s="334"/>
      <c r="BD159" s="334"/>
      <c r="BE159" s="334"/>
      <c r="BF159" s="334"/>
      <c r="BG159" s="334"/>
      <c r="BH159" s="334"/>
    </row>
    <row r="160" spans="1:60" ht="15.75" customHeight="1" x14ac:dyDescent="0.25">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c r="AE160" s="334"/>
      <c r="AF160" s="334"/>
      <c r="AG160" s="334"/>
      <c r="AH160" s="334"/>
      <c r="AI160" s="334"/>
      <c r="AJ160" s="334"/>
      <c r="AK160" s="334"/>
      <c r="AL160" s="334"/>
      <c r="AM160" s="334"/>
      <c r="AN160" s="334"/>
      <c r="AO160" s="334"/>
      <c r="AP160" s="334"/>
      <c r="AQ160" s="334"/>
      <c r="AR160" s="334"/>
      <c r="AS160" s="334"/>
      <c r="AT160" s="334"/>
      <c r="AU160" s="334"/>
      <c r="AV160" s="334"/>
      <c r="AW160" s="334"/>
      <c r="AX160" s="334"/>
      <c r="AY160" s="334"/>
      <c r="AZ160" s="334"/>
      <c r="BA160" s="334"/>
      <c r="BB160" s="334"/>
      <c r="BC160" s="334"/>
      <c r="BD160" s="334"/>
      <c r="BE160" s="334"/>
      <c r="BF160" s="334"/>
      <c r="BG160" s="334"/>
      <c r="BH160" s="334"/>
    </row>
    <row r="161" spans="1:60" ht="15.75" customHeight="1" x14ac:dyDescent="0.25">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c r="AE161" s="334"/>
      <c r="AF161" s="334"/>
      <c r="AG161" s="334"/>
      <c r="AH161" s="334"/>
      <c r="AI161" s="334"/>
      <c r="AJ161" s="334"/>
      <c r="AK161" s="334"/>
      <c r="AL161" s="334"/>
      <c r="AM161" s="334"/>
      <c r="AN161" s="334"/>
      <c r="AO161" s="334"/>
      <c r="AP161" s="334"/>
      <c r="AQ161" s="334"/>
      <c r="AR161" s="334"/>
      <c r="AS161" s="334"/>
      <c r="AT161" s="334"/>
      <c r="AU161" s="334"/>
      <c r="AV161" s="334"/>
      <c r="AW161" s="334"/>
      <c r="AX161" s="334"/>
      <c r="AY161" s="334"/>
      <c r="AZ161" s="334"/>
      <c r="BA161" s="334"/>
      <c r="BB161" s="334"/>
      <c r="BC161" s="334"/>
      <c r="BD161" s="334"/>
      <c r="BE161" s="334"/>
      <c r="BF161" s="334"/>
      <c r="BG161" s="334"/>
      <c r="BH161" s="334"/>
    </row>
    <row r="162" spans="1:60" ht="15.75" customHeight="1" x14ac:dyDescent="0.25">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c r="AE162" s="334"/>
      <c r="AF162" s="334"/>
      <c r="AG162" s="334"/>
      <c r="AH162" s="334"/>
      <c r="AI162" s="334"/>
      <c r="AJ162" s="334"/>
      <c r="AK162" s="334"/>
      <c r="AL162" s="334"/>
      <c r="AM162" s="334"/>
      <c r="AN162" s="334"/>
      <c r="AO162" s="334"/>
      <c r="AP162" s="334"/>
      <c r="AQ162" s="334"/>
      <c r="AR162" s="334"/>
      <c r="AS162" s="334"/>
      <c r="AT162" s="334"/>
      <c r="AU162" s="334"/>
      <c r="AV162" s="334"/>
      <c r="AW162" s="334"/>
      <c r="AX162" s="334"/>
      <c r="AY162" s="334"/>
      <c r="AZ162" s="334"/>
      <c r="BA162" s="334"/>
      <c r="BB162" s="334"/>
      <c r="BC162" s="334"/>
      <c r="BD162" s="334"/>
      <c r="BE162" s="334"/>
      <c r="BF162" s="334"/>
      <c r="BG162" s="334"/>
      <c r="BH162" s="334"/>
    </row>
    <row r="163" spans="1:60" ht="15.75" customHeight="1" x14ac:dyDescent="0.25">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c r="AE163" s="334"/>
      <c r="AF163" s="334"/>
      <c r="AG163" s="334"/>
      <c r="AH163" s="334"/>
      <c r="AI163" s="334"/>
      <c r="AJ163" s="334"/>
      <c r="AK163" s="334"/>
      <c r="AL163" s="334"/>
      <c r="AM163" s="334"/>
      <c r="AN163" s="334"/>
      <c r="AO163" s="334"/>
      <c r="AP163" s="334"/>
      <c r="AQ163" s="334"/>
      <c r="AR163" s="334"/>
      <c r="AS163" s="334"/>
      <c r="AT163" s="334"/>
      <c r="AU163" s="334"/>
      <c r="AV163" s="334"/>
      <c r="AW163" s="334"/>
      <c r="AX163" s="334"/>
      <c r="AY163" s="334"/>
      <c r="AZ163" s="334"/>
      <c r="BA163" s="334"/>
      <c r="BB163" s="334"/>
      <c r="BC163" s="334"/>
      <c r="BD163" s="334"/>
      <c r="BE163" s="334"/>
      <c r="BF163" s="334"/>
      <c r="BG163" s="334"/>
      <c r="BH163" s="334"/>
    </row>
    <row r="164" spans="1:60" ht="15.75" customHeight="1" x14ac:dyDescent="0.25">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c r="AE164" s="334"/>
      <c r="AF164" s="334"/>
      <c r="AG164" s="334"/>
      <c r="AH164" s="334"/>
      <c r="AI164" s="334"/>
      <c r="AJ164" s="334"/>
      <c r="AK164" s="334"/>
      <c r="AL164" s="334"/>
      <c r="AM164" s="334"/>
      <c r="AN164" s="334"/>
      <c r="AO164" s="334"/>
      <c r="AP164" s="334"/>
      <c r="AQ164" s="334"/>
      <c r="AR164" s="334"/>
      <c r="AS164" s="334"/>
      <c r="AT164" s="334"/>
      <c r="AU164" s="334"/>
      <c r="AV164" s="334"/>
      <c r="AW164" s="334"/>
      <c r="AX164" s="334"/>
      <c r="AY164" s="334"/>
      <c r="AZ164" s="334"/>
      <c r="BA164" s="334"/>
      <c r="BB164" s="334"/>
      <c r="BC164" s="334"/>
      <c r="BD164" s="334"/>
      <c r="BE164" s="334"/>
      <c r="BF164" s="334"/>
      <c r="BG164" s="334"/>
      <c r="BH164" s="334"/>
    </row>
    <row r="165" spans="1:60" ht="15.75" customHeight="1" x14ac:dyDescent="0.25">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c r="AE165" s="334"/>
      <c r="AF165" s="334"/>
      <c r="AG165" s="334"/>
      <c r="AH165" s="334"/>
      <c r="AI165" s="334"/>
      <c r="AJ165" s="334"/>
      <c r="AK165" s="334"/>
      <c r="AL165" s="334"/>
      <c r="AM165" s="334"/>
      <c r="AN165" s="334"/>
      <c r="AO165" s="334"/>
      <c r="AP165" s="334"/>
      <c r="AQ165" s="334"/>
      <c r="AR165" s="334"/>
      <c r="AS165" s="334"/>
      <c r="AT165" s="334"/>
      <c r="AU165" s="334"/>
      <c r="AV165" s="334"/>
      <c r="AW165" s="334"/>
      <c r="AX165" s="334"/>
      <c r="AY165" s="334"/>
      <c r="AZ165" s="334"/>
      <c r="BA165" s="334"/>
      <c r="BB165" s="334"/>
      <c r="BC165" s="334"/>
      <c r="BD165" s="334"/>
      <c r="BE165" s="334"/>
      <c r="BF165" s="334"/>
      <c r="BG165" s="334"/>
      <c r="BH165" s="334"/>
    </row>
    <row r="166" spans="1:60" ht="15.75" customHeight="1" x14ac:dyDescent="0.25">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c r="AE166" s="334"/>
      <c r="AF166" s="334"/>
      <c r="AG166" s="334"/>
      <c r="AH166" s="334"/>
      <c r="AI166" s="334"/>
      <c r="AJ166" s="334"/>
      <c r="AK166" s="334"/>
      <c r="AL166" s="334"/>
      <c r="AM166" s="334"/>
      <c r="AN166" s="334"/>
      <c r="AO166" s="334"/>
      <c r="AP166" s="334"/>
      <c r="AQ166" s="334"/>
      <c r="AR166" s="334"/>
      <c r="AS166" s="334"/>
      <c r="AT166" s="334"/>
      <c r="AU166" s="334"/>
      <c r="AV166" s="334"/>
      <c r="AW166" s="334"/>
      <c r="AX166" s="334"/>
      <c r="AY166" s="334"/>
      <c r="AZ166" s="334"/>
      <c r="BA166" s="334"/>
      <c r="BB166" s="334"/>
      <c r="BC166" s="334"/>
      <c r="BD166" s="334"/>
      <c r="BE166" s="334"/>
      <c r="BF166" s="334"/>
      <c r="BG166" s="334"/>
      <c r="BH166" s="334"/>
    </row>
    <row r="167" spans="1:60" ht="15.75" customHeight="1" x14ac:dyDescent="0.25">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c r="AE167" s="334"/>
      <c r="AF167" s="334"/>
      <c r="AG167" s="334"/>
      <c r="AH167" s="334"/>
      <c r="AI167" s="334"/>
      <c r="AJ167" s="334"/>
      <c r="AK167" s="334"/>
      <c r="AL167" s="334"/>
      <c r="AM167" s="334"/>
      <c r="AN167" s="334"/>
      <c r="AO167" s="334"/>
      <c r="AP167" s="334"/>
      <c r="AQ167" s="334"/>
      <c r="AR167" s="334"/>
      <c r="AS167" s="334"/>
      <c r="AT167" s="334"/>
      <c r="AU167" s="334"/>
      <c r="AV167" s="334"/>
      <c r="AW167" s="334"/>
      <c r="AX167" s="334"/>
      <c r="AY167" s="334"/>
      <c r="AZ167" s="334"/>
      <c r="BA167" s="334"/>
      <c r="BB167" s="334"/>
      <c r="BC167" s="334"/>
      <c r="BD167" s="334"/>
      <c r="BE167" s="334"/>
      <c r="BF167" s="334"/>
      <c r="BG167" s="334"/>
      <c r="BH167" s="334"/>
    </row>
    <row r="168" spans="1:60" ht="15.75" customHeight="1" x14ac:dyDescent="0.25">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c r="AE168" s="334"/>
      <c r="AF168" s="334"/>
      <c r="AG168" s="334"/>
      <c r="AH168" s="334"/>
      <c r="AI168" s="334"/>
      <c r="AJ168" s="334"/>
      <c r="AK168" s="334"/>
      <c r="AL168" s="334"/>
      <c r="AM168" s="334"/>
      <c r="AN168" s="334"/>
      <c r="AO168" s="334"/>
      <c r="AP168" s="334"/>
      <c r="AQ168" s="334"/>
      <c r="AR168" s="334"/>
      <c r="AS168" s="334"/>
      <c r="AT168" s="334"/>
      <c r="AU168" s="334"/>
      <c r="AV168" s="334"/>
      <c r="AW168" s="334"/>
      <c r="AX168" s="334"/>
      <c r="AY168" s="334"/>
      <c r="AZ168" s="334"/>
      <c r="BA168" s="334"/>
      <c r="BB168" s="334"/>
      <c r="BC168" s="334"/>
      <c r="BD168" s="334"/>
      <c r="BE168" s="334"/>
      <c r="BF168" s="334"/>
      <c r="BG168" s="334"/>
      <c r="BH168" s="334"/>
    </row>
    <row r="169" spans="1:60" ht="15.75" customHeight="1" x14ac:dyDescent="0.25">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c r="AE169" s="334"/>
      <c r="AF169" s="334"/>
      <c r="AG169" s="334"/>
      <c r="AH169" s="334"/>
      <c r="AI169" s="334"/>
      <c r="AJ169" s="334"/>
      <c r="AK169" s="334"/>
      <c r="AL169" s="334"/>
      <c r="AM169" s="334"/>
      <c r="AN169" s="334"/>
      <c r="AO169" s="334"/>
      <c r="AP169" s="334"/>
      <c r="AQ169" s="334"/>
      <c r="AR169" s="334"/>
      <c r="AS169" s="334"/>
      <c r="AT169" s="334"/>
      <c r="AU169" s="334"/>
      <c r="AV169" s="334"/>
      <c r="AW169" s="334"/>
      <c r="AX169" s="334"/>
      <c r="AY169" s="334"/>
      <c r="AZ169" s="334"/>
      <c r="BA169" s="334"/>
      <c r="BB169" s="334"/>
      <c r="BC169" s="334"/>
      <c r="BD169" s="334"/>
      <c r="BE169" s="334"/>
      <c r="BF169" s="334"/>
      <c r="BG169" s="334"/>
      <c r="BH169" s="334"/>
    </row>
    <row r="170" spans="1:60" ht="15.75" customHeight="1" x14ac:dyDescent="0.25">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c r="AE170" s="334"/>
      <c r="AF170" s="334"/>
      <c r="AG170" s="334"/>
      <c r="AH170" s="334"/>
      <c r="AI170" s="334"/>
      <c r="AJ170" s="334"/>
      <c r="AK170" s="334"/>
      <c r="AL170" s="334"/>
      <c r="AM170" s="334"/>
      <c r="AN170" s="334"/>
      <c r="AO170" s="334"/>
      <c r="AP170" s="334"/>
      <c r="AQ170" s="334"/>
      <c r="AR170" s="334"/>
      <c r="AS170" s="334"/>
      <c r="AT170" s="334"/>
      <c r="AU170" s="334"/>
      <c r="AV170" s="334"/>
      <c r="AW170" s="334"/>
      <c r="AX170" s="334"/>
      <c r="AY170" s="334"/>
      <c r="AZ170" s="334"/>
      <c r="BA170" s="334"/>
      <c r="BB170" s="334"/>
      <c r="BC170" s="334"/>
      <c r="BD170" s="334"/>
      <c r="BE170" s="334"/>
      <c r="BF170" s="334"/>
      <c r="BG170" s="334"/>
      <c r="BH170" s="334"/>
    </row>
    <row r="171" spans="1:60" ht="15.75" customHeight="1" x14ac:dyDescent="0.25">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c r="AE171" s="334"/>
      <c r="AF171" s="334"/>
      <c r="AG171" s="334"/>
      <c r="AH171" s="334"/>
      <c r="AI171" s="334"/>
      <c r="AJ171" s="334"/>
      <c r="AK171" s="334"/>
      <c r="AL171" s="334"/>
      <c r="AM171" s="334"/>
      <c r="AN171" s="334"/>
      <c r="AO171" s="334"/>
      <c r="AP171" s="334"/>
      <c r="AQ171" s="334"/>
      <c r="AR171" s="334"/>
      <c r="AS171" s="334"/>
      <c r="AT171" s="334"/>
      <c r="AU171" s="334"/>
      <c r="AV171" s="334"/>
      <c r="AW171" s="334"/>
      <c r="AX171" s="334"/>
      <c r="AY171" s="334"/>
      <c r="AZ171" s="334"/>
      <c r="BA171" s="334"/>
      <c r="BB171" s="334"/>
      <c r="BC171" s="334"/>
      <c r="BD171" s="334"/>
      <c r="BE171" s="334"/>
      <c r="BF171" s="334"/>
      <c r="BG171" s="334"/>
      <c r="BH171" s="334"/>
    </row>
    <row r="172" spans="1:60" ht="15.75" customHeight="1" x14ac:dyDescent="0.25">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c r="AE172" s="334"/>
      <c r="AF172" s="334"/>
      <c r="AG172" s="334"/>
      <c r="AH172" s="334"/>
      <c r="AI172" s="334"/>
      <c r="AJ172" s="334"/>
      <c r="AK172" s="334"/>
      <c r="AL172" s="334"/>
      <c r="AM172" s="334"/>
      <c r="AN172" s="334"/>
      <c r="AO172" s="334"/>
      <c r="AP172" s="334"/>
      <c r="AQ172" s="334"/>
      <c r="AR172" s="334"/>
      <c r="AS172" s="334"/>
      <c r="AT172" s="334"/>
      <c r="AU172" s="334"/>
      <c r="AV172" s="334"/>
      <c r="AW172" s="334"/>
      <c r="AX172" s="334"/>
      <c r="AY172" s="334"/>
      <c r="AZ172" s="334"/>
      <c r="BA172" s="334"/>
      <c r="BB172" s="334"/>
      <c r="BC172" s="334"/>
      <c r="BD172" s="334"/>
      <c r="BE172" s="334"/>
      <c r="BF172" s="334"/>
      <c r="BG172" s="334"/>
      <c r="BH172" s="334"/>
    </row>
    <row r="173" spans="1:60" ht="15.75" customHeight="1" x14ac:dyDescent="0.25">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c r="AE173" s="334"/>
      <c r="AF173" s="334"/>
      <c r="AG173" s="334"/>
      <c r="AH173" s="334"/>
      <c r="AI173" s="334"/>
      <c r="AJ173" s="334"/>
      <c r="AK173" s="334"/>
      <c r="AL173" s="334"/>
      <c r="AM173" s="334"/>
      <c r="AN173" s="334"/>
      <c r="AO173" s="334"/>
      <c r="AP173" s="334"/>
      <c r="AQ173" s="334"/>
      <c r="AR173" s="334"/>
      <c r="AS173" s="334"/>
      <c r="AT173" s="334"/>
      <c r="AU173" s="334"/>
      <c r="AV173" s="334"/>
      <c r="AW173" s="334"/>
      <c r="AX173" s="334"/>
      <c r="AY173" s="334"/>
      <c r="AZ173" s="334"/>
      <c r="BA173" s="334"/>
      <c r="BB173" s="334"/>
      <c r="BC173" s="334"/>
      <c r="BD173" s="334"/>
      <c r="BE173" s="334"/>
      <c r="BF173" s="334"/>
      <c r="BG173" s="334"/>
      <c r="BH173" s="334"/>
    </row>
    <row r="174" spans="1:60" ht="15.75" customHeight="1" x14ac:dyDescent="0.25">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c r="AE174" s="334"/>
      <c r="AF174" s="334"/>
      <c r="AG174" s="334"/>
      <c r="AH174" s="334"/>
      <c r="AI174" s="334"/>
      <c r="AJ174" s="334"/>
      <c r="AK174" s="334"/>
      <c r="AL174" s="334"/>
      <c r="AM174" s="334"/>
      <c r="AN174" s="334"/>
      <c r="AO174" s="334"/>
      <c r="AP174" s="334"/>
      <c r="AQ174" s="334"/>
      <c r="AR174" s="334"/>
      <c r="AS174" s="334"/>
      <c r="AT174" s="334"/>
      <c r="AU174" s="334"/>
      <c r="AV174" s="334"/>
      <c r="AW174" s="334"/>
      <c r="AX174" s="334"/>
      <c r="AY174" s="334"/>
      <c r="AZ174" s="334"/>
      <c r="BA174" s="334"/>
      <c r="BB174" s="334"/>
      <c r="BC174" s="334"/>
      <c r="BD174" s="334"/>
      <c r="BE174" s="334"/>
      <c r="BF174" s="334"/>
      <c r="BG174" s="334"/>
      <c r="BH174" s="334"/>
    </row>
    <row r="175" spans="1:60" ht="15.75" customHeight="1" x14ac:dyDescent="0.25">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c r="AE175" s="334"/>
      <c r="AF175" s="334"/>
      <c r="AG175" s="334"/>
      <c r="AH175" s="334"/>
      <c r="AI175" s="334"/>
      <c r="AJ175" s="334"/>
      <c r="AK175" s="334"/>
      <c r="AL175" s="334"/>
      <c r="AM175" s="334"/>
      <c r="AN175" s="334"/>
      <c r="AO175" s="334"/>
      <c r="AP175" s="334"/>
      <c r="AQ175" s="334"/>
      <c r="AR175" s="334"/>
      <c r="AS175" s="334"/>
      <c r="AT175" s="334"/>
      <c r="AU175" s="334"/>
      <c r="AV175" s="334"/>
      <c r="AW175" s="334"/>
      <c r="AX175" s="334"/>
      <c r="AY175" s="334"/>
      <c r="AZ175" s="334"/>
      <c r="BA175" s="334"/>
      <c r="BB175" s="334"/>
      <c r="BC175" s="334"/>
      <c r="BD175" s="334"/>
      <c r="BE175" s="334"/>
      <c r="BF175" s="334"/>
      <c r="BG175" s="334"/>
      <c r="BH175" s="334"/>
    </row>
    <row r="176" spans="1:60" ht="15.75" customHeight="1" x14ac:dyDescent="0.25">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c r="AE176" s="334"/>
      <c r="AF176" s="334"/>
      <c r="AG176" s="334"/>
      <c r="AH176" s="334"/>
      <c r="AI176" s="334"/>
      <c r="AJ176" s="334"/>
      <c r="AK176" s="334"/>
      <c r="AL176" s="334"/>
      <c r="AM176" s="334"/>
      <c r="AN176" s="334"/>
      <c r="AO176" s="334"/>
      <c r="AP176" s="334"/>
      <c r="AQ176" s="334"/>
      <c r="AR176" s="334"/>
      <c r="AS176" s="334"/>
      <c r="AT176" s="334"/>
      <c r="AU176" s="334"/>
      <c r="AV176" s="334"/>
      <c r="AW176" s="334"/>
      <c r="AX176" s="334"/>
      <c r="AY176" s="334"/>
      <c r="AZ176" s="334"/>
      <c r="BA176" s="334"/>
      <c r="BB176" s="334"/>
      <c r="BC176" s="334"/>
      <c r="BD176" s="334"/>
      <c r="BE176" s="334"/>
      <c r="BF176" s="334"/>
      <c r="BG176" s="334"/>
      <c r="BH176" s="334"/>
    </row>
    <row r="177" spans="1:60" ht="15.75" customHeight="1" x14ac:dyDescent="0.25">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c r="AE177" s="334"/>
      <c r="AF177" s="334"/>
      <c r="AG177" s="334"/>
      <c r="AH177" s="334"/>
      <c r="AI177" s="334"/>
      <c r="AJ177" s="334"/>
      <c r="AK177" s="334"/>
      <c r="AL177" s="334"/>
      <c r="AM177" s="334"/>
      <c r="AN177" s="334"/>
      <c r="AO177" s="334"/>
      <c r="AP177" s="334"/>
      <c r="AQ177" s="334"/>
      <c r="AR177" s="334"/>
      <c r="AS177" s="334"/>
      <c r="AT177" s="334"/>
      <c r="AU177" s="334"/>
      <c r="AV177" s="334"/>
      <c r="AW177" s="334"/>
      <c r="AX177" s="334"/>
      <c r="AY177" s="334"/>
      <c r="AZ177" s="334"/>
      <c r="BA177" s="334"/>
      <c r="BB177" s="334"/>
      <c r="BC177" s="334"/>
      <c r="BD177" s="334"/>
      <c r="BE177" s="334"/>
      <c r="BF177" s="334"/>
      <c r="BG177" s="334"/>
      <c r="BH177" s="334"/>
    </row>
    <row r="178" spans="1:60" ht="15.75" customHeight="1" x14ac:dyDescent="0.25">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c r="AE178" s="334"/>
      <c r="AF178" s="334"/>
      <c r="AG178" s="334"/>
      <c r="AH178" s="334"/>
      <c r="AI178" s="334"/>
      <c r="AJ178" s="334"/>
      <c r="AK178" s="334"/>
      <c r="AL178" s="334"/>
      <c r="AM178" s="334"/>
      <c r="AN178" s="334"/>
      <c r="AO178" s="334"/>
      <c r="AP178" s="334"/>
      <c r="AQ178" s="334"/>
      <c r="AR178" s="334"/>
      <c r="AS178" s="334"/>
      <c r="AT178" s="334"/>
      <c r="AU178" s="334"/>
      <c r="AV178" s="334"/>
      <c r="AW178" s="334"/>
      <c r="AX178" s="334"/>
      <c r="AY178" s="334"/>
      <c r="AZ178" s="334"/>
      <c r="BA178" s="334"/>
      <c r="BB178" s="334"/>
      <c r="BC178" s="334"/>
      <c r="BD178" s="334"/>
      <c r="BE178" s="334"/>
      <c r="BF178" s="334"/>
      <c r="BG178" s="334"/>
      <c r="BH178" s="334"/>
    </row>
    <row r="179" spans="1:60" ht="15.75" customHeight="1" x14ac:dyDescent="0.25">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c r="AE179" s="334"/>
      <c r="AF179" s="334"/>
      <c r="AG179" s="334"/>
      <c r="AH179" s="334"/>
      <c r="AI179" s="334"/>
      <c r="AJ179" s="334"/>
      <c r="AK179" s="334"/>
      <c r="AL179" s="334"/>
      <c r="AM179" s="334"/>
      <c r="AN179" s="334"/>
      <c r="AO179" s="334"/>
      <c r="AP179" s="334"/>
      <c r="AQ179" s="334"/>
      <c r="AR179" s="334"/>
      <c r="AS179" s="334"/>
      <c r="AT179" s="334"/>
      <c r="AU179" s="334"/>
      <c r="AV179" s="334"/>
      <c r="AW179" s="334"/>
      <c r="AX179" s="334"/>
      <c r="AY179" s="334"/>
      <c r="AZ179" s="334"/>
      <c r="BA179" s="334"/>
      <c r="BB179" s="334"/>
      <c r="BC179" s="334"/>
      <c r="BD179" s="334"/>
      <c r="BE179" s="334"/>
      <c r="BF179" s="334"/>
      <c r="BG179" s="334"/>
      <c r="BH179" s="334"/>
    </row>
    <row r="180" spans="1:60" ht="15.75" customHeight="1" x14ac:dyDescent="0.25">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c r="AE180" s="334"/>
      <c r="AF180" s="334"/>
      <c r="AG180" s="334"/>
      <c r="AH180" s="334"/>
      <c r="AI180" s="334"/>
      <c r="AJ180" s="334"/>
      <c r="AK180" s="334"/>
      <c r="AL180" s="334"/>
      <c r="AM180" s="334"/>
      <c r="AN180" s="334"/>
      <c r="AO180" s="334"/>
      <c r="AP180" s="334"/>
      <c r="AQ180" s="334"/>
      <c r="AR180" s="334"/>
      <c r="AS180" s="334"/>
      <c r="AT180" s="334"/>
      <c r="AU180" s="334"/>
      <c r="AV180" s="334"/>
      <c r="AW180" s="334"/>
      <c r="AX180" s="334"/>
      <c r="AY180" s="334"/>
      <c r="AZ180" s="334"/>
      <c r="BA180" s="334"/>
      <c r="BB180" s="334"/>
      <c r="BC180" s="334"/>
      <c r="BD180" s="334"/>
      <c r="BE180" s="334"/>
      <c r="BF180" s="334"/>
      <c r="BG180" s="334"/>
      <c r="BH180" s="334"/>
    </row>
    <row r="181" spans="1:60" ht="15.75" customHeight="1" x14ac:dyDescent="0.25">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c r="AE181" s="334"/>
      <c r="AF181" s="334"/>
      <c r="AG181" s="334"/>
      <c r="AH181" s="334"/>
      <c r="AI181" s="334"/>
      <c r="AJ181" s="334"/>
      <c r="AK181" s="334"/>
      <c r="AL181" s="334"/>
      <c r="AM181" s="334"/>
      <c r="AN181" s="334"/>
      <c r="AO181" s="334"/>
      <c r="AP181" s="334"/>
      <c r="AQ181" s="334"/>
      <c r="AR181" s="334"/>
      <c r="AS181" s="334"/>
      <c r="AT181" s="334"/>
      <c r="AU181" s="334"/>
      <c r="AV181" s="334"/>
      <c r="AW181" s="334"/>
      <c r="AX181" s="334"/>
      <c r="AY181" s="334"/>
      <c r="AZ181" s="334"/>
      <c r="BA181" s="334"/>
      <c r="BB181" s="334"/>
      <c r="BC181" s="334"/>
      <c r="BD181" s="334"/>
      <c r="BE181" s="334"/>
      <c r="BF181" s="334"/>
      <c r="BG181" s="334"/>
      <c r="BH181" s="334"/>
    </row>
    <row r="182" spans="1:60" ht="15.75" customHeight="1" x14ac:dyDescent="0.25">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c r="AE182" s="334"/>
      <c r="AF182" s="334"/>
      <c r="AG182" s="334"/>
      <c r="AH182" s="334"/>
      <c r="AI182" s="334"/>
      <c r="AJ182" s="334"/>
      <c r="AK182" s="334"/>
      <c r="AL182" s="334"/>
      <c r="AM182" s="334"/>
      <c r="AN182" s="334"/>
      <c r="AO182" s="334"/>
      <c r="AP182" s="334"/>
      <c r="AQ182" s="334"/>
      <c r="AR182" s="334"/>
      <c r="AS182" s="334"/>
      <c r="AT182" s="334"/>
      <c r="AU182" s="334"/>
      <c r="AV182" s="334"/>
      <c r="AW182" s="334"/>
      <c r="AX182" s="334"/>
      <c r="AY182" s="334"/>
      <c r="AZ182" s="334"/>
      <c r="BA182" s="334"/>
      <c r="BB182" s="334"/>
      <c r="BC182" s="334"/>
      <c r="BD182" s="334"/>
      <c r="BE182" s="334"/>
      <c r="BF182" s="334"/>
      <c r="BG182" s="334"/>
      <c r="BH182" s="334"/>
    </row>
    <row r="183" spans="1:60" ht="15.75" customHeight="1" x14ac:dyDescent="0.25">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c r="AE183" s="334"/>
      <c r="AF183" s="334"/>
      <c r="AG183" s="334"/>
      <c r="AH183" s="334"/>
      <c r="AI183" s="334"/>
      <c r="AJ183" s="334"/>
      <c r="AK183" s="334"/>
      <c r="AL183" s="334"/>
      <c r="AM183" s="334"/>
      <c r="AN183" s="334"/>
      <c r="AO183" s="334"/>
      <c r="AP183" s="334"/>
      <c r="AQ183" s="334"/>
      <c r="AR183" s="334"/>
      <c r="AS183" s="334"/>
      <c r="AT183" s="334"/>
      <c r="AU183" s="334"/>
      <c r="AV183" s="334"/>
      <c r="AW183" s="334"/>
      <c r="AX183" s="334"/>
      <c r="AY183" s="334"/>
      <c r="AZ183" s="334"/>
      <c r="BA183" s="334"/>
      <c r="BB183" s="334"/>
      <c r="BC183" s="334"/>
      <c r="BD183" s="334"/>
      <c r="BE183" s="334"/>
      <c r="BF183" s="334"/>
      <c r="BG183" s="334"/>
      <c r="BH183" s="334"/>
    </row>
    <row r="184" spans="1:60" ht="15.75" customHeight="1" x14ac:dyDescent="0.25">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c r="AE184" s="334"/>
      <c r="AF184" s="334"/>
      <c r="AG184" s="334"/>
      <c r="AH184" s="334"/>
      <c r="AI184" s="334"/>
      <c r="AJ184" s="334"/>
      <c r="AK184" s="334"/>
      <c r="AL184" s="334"/>
      <c r="AM184" s="334"/>
      <c r="AN184" s="334"/>
      <c r="AO184" s="334"/>
      <c r="AP184" s="334"/>
      <c r="AQ184" s="334"/>
      <c r="AR184" s="334"/>
      <c r="AS184" s="334"/>
      <c r="AT184" s="334"/>
      <c r="AU184" s="334"/>
      <c r="AV184" s="334"/>
      <c r="AW184" s="334"/>
      <c r="AX184" s="334"/>
      <c r="AY184" s="334"/>
      <c r="AZ184" s="334"/>
      <c r="BA184" s="334"/>
      <c r="BB184" s="334"/>
      <c r="BC184" s="334"/>
      <c r="BD184" s="334"/>
      <c r="BE184" s="334"/>
      <c r="BF184" s="334"/>
      <c r="BG184" s="334"/>
      <c r="BH184" s="334"/>
    </row>
    <row r="185" spans="1:60" ht="15.75" customHeight="1" x14ac:dyDescent="0.25">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c r="AE185" s="334"/>
      <c r="AF185" s="334"/>
      <c r="AG185" s="334"/>
      <c r="AH185" s="334"/>
      <c r="AI185" s="334"/>
      <c r="AJ185" s="334"/>
      <c r="AK185" s="334"/>
      <c r="AL185" s="334"/>
      <c r="AM185" s="334"/>
      <c r="AN185" s="334"/>
      <c r="AO185" s="334"/>
      <c r="AP185" s="334"/>
      <c r="AQ185" s="334"/>
      <c r="AR185" s="334"/>
      <c r="AS185" s="334"/>
      <c r="AT185" s="334"/>
      <c r="AU185" s="334"/>
      <c r="AV185" s="334"/>
      <c r="AW185" s="334"/>
      <c r="AX185" s="334"/>
      <c r="AY185" s="334"/>
      <c r="AZ185" s="334"/>
      <c r="BA185" s="334"/>
      <c r="BB185" s="334"/>
      <c r="BC185" s="334"/>
      <c r="BD185" s="334"/>
      <c r="BE185" s="334"/>
      <c r="BF185" s="334"/>
      <c r="BG185" s="334"/>
      <c r="BH185" s="334"/>
    </row>
    <row r="186" spans="1:60" ht="15.75" customHeight="1" x14ac:dyDescent="0.25">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c r="AE186" s="334"/>
      <c r="AF186" s="334"/>
      <c r="AG186" s="334"/>
      <c r="AH186" s="334"/>
      <c r="AI186" s="334"/>
      <c r="AJ186" s="334"/>
      <c r="AK186" s="334"/>
      <c r="AL186" s="334"/>
      <c r="AM186" s="334"/>
      <c r="AN186" s="334"/>
      <c r="AO186" s="334"/>
      <c r="AP186" s="334"/>
      <c r="AQ186" s="334"/>
      <c r="AR186" s="334"/>
      <c r="AS186" s="334"/>
      <c r="AT186" s="334"/>
      <c r="AU186" s="334"/>
      <c r="AV186" s="334"/>
      <c r="AW186" s="334"/>
      <c r="AX186" s="334"/>
      <c r="AY186" s="334"/>
      <c r="AZ186" s="334"/>
      <c r="BA186" s="334"/>
      <c r="BB186" s="334"/>
      <c r="BC186" s="334"/>
      <c r="BD186" s="334"/>
      <c r="BE186" s="334"/>
      <c r="BF186" s="334"/>
      <c r="BG186" s="334"/>
      <c r="BH186" s="334"/>
    </row>
    <row r="187" spans="1:60" ht="15.75" customHeight="1" x14ac:dyDescent="0.25">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c r="AE187" s="334"/>
      <c r="AF187" s="334"/>
      <c r="AG187" s="334"/>
      <c r="AH187" s="334"/>
      <c r="AI187" s="334"/>
      <c r="AJ187" s="334"/>
      <c r="AK187" s="334"/>
      <c r="AL187" s="334"/>
      <c r="AM187" s="334"/>
      <c r="AN187" s="334"/>
      <c r="AO187" s="334"/>
      <c r="AP187" s="334"/>
      <c r="AQ187" s="334"/>
      <c r="AR187" s="334"/>
      <c r="AS187" s="334"/>
      <c r="AT187" s="334"/>
      <c r="AU187" s="334"/>
      <c r="AV187" s="334"/>
      <c r="AW187" s="334"/>
      <c r="AX187" s="334"/>
      <c r="AY187" s="334"/>
      <c r="AZ187" s="334"/>
      <c r="BA187" s="334"/>
      <c r="BB187" s="334"/>
      <c r="BC187" s="334"/>
      <c r="BD187" s="334"/>
      <c r="BE187" s="334"/>
      <c r="BF187" s="334"/>
      <c r="BG187" s="334"/>
      <c r="BH187" s="334"/>
    </row>
    <row r="188" spans="1:60" ht="15.75" customHeight="1" x14ac:dyDescent="0.25">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c r="AE188" s="334"/>
      <c r="AF188" s="334"/>
      <c r="AG188" s="334"/>
      <c r="AH188" s="334"/>
      <c r="AI188" s="334"/>
      <c r="AJ188" s="334"/>
      <c r="AK188" s="334"/>
      <c r="AL188" s="334"/>
      <c r="AM188" s="334"/>
      <c r="AN188" s="334"/>
      <c r="AO188" s="334"/>
      <c r="AP188" s="334"/>
      <c r="AQ188" s="334"/>
      <c r="AR188" s="334"/>
      <c r="AS188" s="334"/>
      <c r="AT188" s="334"/>
      <c r="AU188" s="334"/>
      <c r="AV188" s="334"/>
      <c r="AW188" s="334"/>
      <c r="AX188" s="334"/>
      <c r="AY188" s="334"/>
      <c r="AZ188" s="334"/>
      <c r="BA188" s="334"/>
      <c r="BB188" s="334"/>
      <c r="BC188" s="334"/>
      <c r="BD188" s="334"/>
      <c r="BE188" s="334"/>
      <c r="BF188" s="334"/>
      <c r="BG188" s="334"/>
      <c r="BH188" s="334"/>
    </row>
    <row r="189" spans="1:60" ht="15.75" customHeight="1" x14ac:dyDescent="0.25">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c r="AE189" s="334"/>
      <c r="AF189" s="334"/>
      <c r="AG189" s="334"/>
      <c r="AH189" s="334"/>
      <c r="AI189" s="334"/>
      <c r="AJ189" s="334"/>
      <c r="AK189" s="334"/>
      <c r="AL189" s="334"/>
      <c r="AM189" s="334"/>
      <c r="AN189" s="334"/>
      <c r="AO189" s="334"/>
      <c r="AP189" s="334"/>
      <c r="AQ189" s="334"/>
      <c r="AR189" s="334"/>
      <c r="AS189" s="334"/>
      <c r="AT189" s="334"/>
      <c r="AU189" s="334"/>
      <c r="AV189" s="334"/>
      <c r="AW189" s="334"/>
      <c r="AX189" s="334"/>
      <c r="AY189" s="334"/>
      <c r="AZ189" s="334"/>
      <c r="BA189" s="334"/>
      <c r="BB189" s="334"/>
      <c r="BC189" s="334"/>
      <c r="BD189" s="334"/>
      <c r="BE189" s="334"/>
      <c r="BF189" s="334"/>
      <c r="BG189" s="334"/>
      <c r="BH189" s="334"/>
    </row>
    <row r="190" spans="1:60" ht="15.75" customHeight="1" x14ac:dyDescent="0.25">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c r="AE190" s="334"/>
      <c r="AF190" s="334"/>
      <c r="AG190" s="334"/>
      <c r="AH190" s="334"/>
      <c r="AI190" s="334"/>
      <c r="AJ190" s="334"/>
      <c r="AK190" s="334"/>
      <c r="AL190" s="334"/>
      <c r="AM190" s="334"/>
      <c r="AN190" s="334"/>
      <c r="AO190" s="334"/>
      <c r="AP190" s="334"/>
      <c r="AQ190" s="334"/>
      <c r="AR190" s="334"/>
      <c r="AS190" s="334"/>
      <c r="AT190" s="334"/>
      <c r="AU190" s="334"/>
      <c r="AV190" s="334"/>
      <c r="AW190" s="334"/>
      <c r="AX190" s="334"/>
      <c r="AY190" s="334"/>
      <c r="AZ190" s="334"/>
      <c r="BA190" s="334"/>
      <c r="BB190" s="334"/>
      <c r="BC190" s="334"/>
      <c r="BD190" s="334"/>
      <c r="BE190" s="334"/>
      <c r="BF190" s="334"/>
      <c r="BG190" s="334"/>
      <c r="BH190" s="334"/>
    </row>
    <row r="191" spans="1:60" ht="15.75" customHeight="1" x14ac:dyDescent="0.25">
      <c r="A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c r="AE191" s="334"/>
      <c r="AF191" s="334"/>
      <c r="AG191" s="334"/>
      <c r="AH191" s="334"/>
      <c r="AI191" s="334"/>
      <c r="AJ191" s="334"/>
      <c r="AK191" s="334"/>
      <c r="AL191" s="334"/>
      <c r="AM191" s="334"/>
      <c r="AN191" s="334"/>
      <c r="AO191" s="334"/>
      <c r="AP191" s="334"/>
      <c r="AQ191" s="334"/>
      <c r="AR191" s="334"/>
      <c r="AS191" s="334"/>
      <c r="AT191" s="334"/>
      <c r="AU191" s="334"/>
      <c r="AV191" s="334"/>
      <c r="AW191" s="334"/>
      <c r="AX191" s="334"/>
      <c r="AY191" s="334"/>
      <c r="AZ191" s="334"/>
      <c r="BA191" s="334"/>
      <c r="BB191" s="334"/>
      <c r="BC191" s="334"/>
      <c r="BD191" s="334"/>
      <c r="BE191" s="334"/>
      <c r="BF191" s="334"/>
      <c r="BG191" s="334"/>
      <c r="BH191" s="334"/>
    </row>
    <row r="192" spans="1:60" ht="15.75" customHeight="1" x14ac:dyDescent="0.25">
      <c r="A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c r="AE192" s="334"/>
      <c r="AF192" s="334"/>
      <c r="AG192" s="334"/>
      <c r="AH192" s="334"/>
      <c r="AI192" s="334"/>
      <c r="AJ192" s="334"/>
      <c r="AK192" s="334"/>
      <c r="AL192" s="334"/>
      <c r="AM192" s="334"/>
      <c r="AN192" s="334"/>
      <c r="AO192" s="334"/>
      <c r="AP192" s="334"/>
      <c r="AQ192" s="334"/>
      <c r="AR192" s="334"/>
      <c r="AS192" s="334"/>
      <c r="AT192" s="334"/>
      <c r="AU192" s="334"/>
      <c r="AV192" s="334"/>
      <c r="AW192" s="334"/>
      <c r="AX192" s="334"/>
      <c r="AY192" s="334"/>
      <c r="AZ192" s="334"/>
      <c r="BA192" s="334"/>
      <c r="BB192" s="334"/>
      <c r="BC192" s="334"/>
      <c r="BD192" s="334"/>
      <c r="BE192" s="334"/>
      <c r="BF192" s="334"/>
      <c r="BG192" s="334"/>
      <c r="BH192" s="334"/>
    </row>
    <row r="193" spans="1:60" ht="15.75" customHeight="1" x14ac:dyDescent="0.25">
      <c r="A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c r="AE193" s="334"/>
      <c r="AF193" s="334"/>
      <c r="AG193" s="334"/>
      <c r="AH193" s="334"/>
      <c r="AI193" s="334"/>
      <c r="AJ193" s="334"/>
      <c r="AK193" s="334"/>
      <c r="AL193" s="334"/>
      <c r="AM193" s="334"/>
      <c r="AN193" s="334"/>
      <c r="AO193" s="334"/>
      <c r="AP193" s="334"/>
      <c r="AQ193" s="334"/>
      <c r="AR193" s="334"/>
      <c r="AS193" s="334"/>
      <c r="AT193" s="334"/>
      <c r="AU193" s="334"/>
      <c r="AV193" s="334"/>
      <c r="AW193" s="334"/>
      <c r="AX193" s="334"/>
      <c r="AY193" s="334"/>
      <c r="AZ193" s="334"/>
      <c r="BA193" s="334"/>
      <c r="BB193" s="334"/>
      <c r="BC193" s="334"/>
      <c r="BD193" s="334"/>
      <c r="BE193" s="334"/>
      <c r="BF193" s="334"/>
      <c r="BG193" s="334"/>
      <c r="BH193" s="334"/>
    </row>
    <row r="194" spans="1:60" ht="15.75" customHeight="1" x14ac:dyDescent="0.25">
      <c r="A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c r="AE194" s="334"/>
      <c r="AF194" s="334"/>
      <c r="AG194" s="334"/>
      <c r="AH194" s="334"/>
      <c r="AI194" s="334"/>
      <c r="AJ194" s="334"/>
      <c r="AK194" s="334"/>
      <c r="AL194" s="334"/>
      <c r="AM194" s="334"/>
      <c r="AN194" s="334"/>
      <c r="AO194" s="334"/>
      <c r="AP194" s="334"/>
      <c r="AQ194" s="334"/>
      <c r="AR194" s="334"/>
      <c r="AS194" s="334"/>
      <c r="AT194" s="334"/>
      <c r="AU194" s="334"/>
      <c r="AV194" s="334"/>
      <c r="AW194" s="334"/>
      <c r="AX194" s="334"/>
      <c r="AY194" s="334"/>
      <c r="AZ194" s="334"/>
      <c r="BA194" s="334"/>
      <c r="BB194" s="334"/>
      <c r="BC194" s="334"/>
      <c r="BD194" s="334"/>
      <c r="BE194" s="334"/>
      <c r="BF194" s="334"/>
      <c r="BG194" s="334"/>
      <c r="BH194" s="334"/>
    </row>
    <row r="195" spans="1:60" ht="15.75" customHeight="1" x14ac:dyDescent="0.25">
      <c r="A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c r="AE195" s="334"/>
      <c r="AF195" s="334"/>
      <c r="AG195" s="334"/>
      <c r="AH195" s="334"/>
      <c r="AI195" s="334"/>
      <c r="AJ195" s="334"/>
      <c r="AK195" s="334"/>
      <c r="AL195" s="334"/>
      <c r="AM195" s="334"/>
      <c r="AN195" s="334"/>
      <c r="AO195" s="334"/>
      <c r="AP195" s="334"/>
      <c r="AQ195" s="334"/>
      <c r="AR195" s="334"/>
      <c r="AS195" s="334"/>
      <c r="AT195" s="334"/>
      <c r="AU195" s="334"/>
      <c r="AV195" s="334"/>
      <c r="AW195" s="334"/>
      <c r="AX195" s="334"/>
      <c r="AY195" s="334"/>
      <c r="AZ195" s="334"/>
      <c r="BA195" s="334"/>
      <c r="BB195" s="334"/>
      <c r="BC195" s="334"/>
      <c r="BD195" s="334"/>
      <c r="BE195" s="334"/>
      <c r="BF195" s="334"/>
      <c r="BG195" s="334"/>
      <c r="BH195" s="334"/>
    </row>
    <row r="196" spans="1:60" ht="15.75" customHeight="1" x14ac:dyDescent="0.25">
      <c r="A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c r="AE196" s="334"/>
      <c r="AF196" s="334"/>
      <c r="AG196" s="334"/>
      <c r="AH196" s="334"/>
      <c r="AI196" s="334"/>
      <c r="AJ196" s="334"/>
      <c r="AK196" s="334"/>
      <c r="AL196" s="334"/>
      <c r="AM196" s="334"/>
      <c r="AN196" s="334"/>
      <c r="AO196" s="334"/>
      <c r="AP196" s="334"/>
      <c r="AQ196" s="334"/>
      <c r="AR196" s="334"/>
      <c r="AS196" s="334"/>
      <c r="AT196" s="334"/>
      <c r="AU196" s="334"/>
      <c r="AV196" s="334"/>
      <c r="AW196" s="334"/>
      <c r="AX196" s="334"/>
      <c r="AY196" s="334"/>
      <c r="AZ196" s="334"/>
      <c r="BA196" s="334"/>
      <c r="BB196" s="334"/>
      <c r="BC196" s="334"/>
      <c r="BD196" s="334"/>
      <c r="BE196" s="334"/>
      <c r="BF196" s="334"/>
      <c r="BG196" s="334"/>
      <c r="BH196" s="334"/>
    </row>
    <row r="197" spans="1:60" ht="15.75" customHeight="1" x14ac:dyDescent="0.25">
      <c r="A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c r="AE197" s="334"/>
      <c r="AF197" s="334"/>
      <c r="AG197" s="334"/>
      <c r="AH197" s="334"/>
      <c r="AI197" s="334"/>
      <c r="AJ197" s="334"/>
      <c r="AK197" s="334"/>
      <c r="AL197" s="334"/>
      <c r="AM197" s="334"/>
      <c r="AN197" s="334"/>
      <c r="AO197" s="334"/>
      <c r="AP197" s="334"/>
      <c r="AQ197" s="334"/>
      <c r="AR197" s="334"/>
      <c r="AS197" s="334"/>
      <c r="AT197" s="334"/>
      <c r="AU197" s="334"/>
      <c r="AV197" s="334"/>
      <c r="AW197" s="334"/>
      <c r="AX197" s="334"/>
      <c r="AY197" s="334"/>
      <c r="AZ197" s="334"/>
      <c r="BA197" s="334"/>
      <c r="BB197" s="334"/>
      <c r="BC197" s="334"/>
      <c r="BD197" s="334"/>
      <c r="BE197" s="334"/>
      <c r="BF197" s="334"/>
      <c r="BG197" s="334"/>
      <c r="BH197" s="334"/>
    </row>
    <row r="198" spans="1:60" ht="15.75" customHeight="1" x14ac:dyDescent="0.25">
      <c r="A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334"/>
      <c r="AF198" s="334"/>
      <c r="AG198" s="334"/>
      <c r="AH198" s="334"/>
      <c r="AI198" s="334"/>
      <c r="AJ198" s="334"/>
      <c r="AK198" s="334"/>
      <c r="AL198" s="334"/>
      <c r="AM198" s="334"/>
      <c r="AN198" s="334"/>
      <c r="AO198" s="334"/>
      <c r="AP198" s="334"/>
      <c r="AQ198" s="334"/>
      <c r="AR198" s="334"/>
      <c r="AS198" s="334"/>
      <c r="AT198" s="334"/>
      <c r="AU198" s="334"/>
      <c r="AV198" s="334"/>
      <c r="AW198" s="334"/>
      <c r="AX198" s="334"/>
      <c r="AY198" s="334"/>
      <c r="AZ198" s="334"/>
      <c r="BA198" s="334"/>
      <c r="BB198" s="334"/>
      <c r="BC198" s="334"/>
      <c r="BD198" s="334"/>
      <c r="BE198" s="334"/>
      <c r="BF198" s="334"/>
      <c r="BG198" s="334"/>
      <c r="BH198" s="334"/>
    </row>
    <row r="199" spans="1:60" ht="15.75" customHeight="1" x14ac:dyDescent="0.25">
      <c r="A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c r="AE199" s="334"/>
      <c r="AF199" s="334"/>
      <c r="AG199" s="334"/>
      <c r="AH199" s="334"/>
      <c r="AI199" s="334"/>
      <c r="AJ199" s="334"/>
      <c r="AK199" s="334"/>
      <c r="AL199" s="334"/>
      <c r="AM199" s="334"/>
      <c r="AN199" s="334"/>
      <c r="AO199" s="334"/>
      <c r="AP199" s="334"/>
      <c r="AQ199" s="334"/>
      <c r="AR199" s="334"/>
      <c r="AS199" s="334"/>
      <c r="AT199" s="334"/>
      <c r="AU199" s="334"/>
      <c r="AV199" s="334"/>
      <c r="AW199" s="334"/>
      <c r="AX199" s="334"/>
      <c r="AY199" s="334"/>
      <c r="AZ199" s="334"/>
      <c r="BA199" s="334"/>
      <c r="BB199" s="334"/>
      <c r="BC199" s="334"/>
      <c r="BD199" s="334"/>
      <c r="BE199" s="334"/>
      <c r="BF199" s="334"/>
      <c r="BG199" s="334"/>
      <c r="BH199" s="334"/>
    </row>
    <row r="200" spans="1:60" ht="15.75" customHeight="1" x14ac:dyDescent="0.25">
      <c r="A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c r="AE200" s="334"/>
      <c r="AF200" s="334"/>
      <c r="AG200" s="334"/>
      <c r="AH200" s="334"/>
      <c r="AI200" s="334"/>
      <c r="AJ200" s="334"/>
      <c r="AK200" s="334"/>
      <c r="AL200" s="334"/>
      <c r="AM200" s="334"/>
      <c r="AN200" s="334"/>
      <c r="AO200" s="334"/>
      <c r="AP200" s="334"/>
      <c r="AQ200" s="334"/>
      <c r="AR200" s="334"/>
      <c r="AS200" s="334"/>
      <c r="AT200" s="334"/>
      <c r="AU200" s="334"/>
      <c r="AV200" s="334"/>
      <c r="AW200" s="334"/>
      <c r="AX200" s="334"/>
      <c r="AY200" s="334"/>
      <c r="AZ200" s="334"/>
      <c r="BA200" s="334"/>
      <c r="BB200" s="334"/>
      <c r="BC200" s="334"/>
      <c r="BD200" s="334"/>
      <c r="BE200" s="334"/>
      <c r="BF200" s="334"/>
      <c r="BG200" s="334"/>
      <c r="BH200" s="334"/>
    </row>
    <row r="201" spans="1:60" ht="15.75" customHeight="1" x14ac:dyDescent="0.25">
      <c r="A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c r="AE201" s="334"/>
      <c r="AF201" s="334"/>
      <c r="AG201" s="334"/>
      <c r="AH201" s="334"/>
      <c r="AI201" s="334"/>
      <c r="AJ201" s="334"/>
      <c r="AK201" s="334"/>
      <c r="AL201" s="334"/>
      <c r="AM201" s="334"/>
      <c r="AN201" s="334"/>
      <c r="AO201" s="334"/>
      <c r="AP201" s="334"/>
      <c r="AQ201" s="334"/>
      <c r="AR201" s="334"/>
      <c r="AS201" s="334"/>
      <c r="AT201" s="334"/>
      <c r="AU201" s="334"/>
      <c r="AV201" s="334"/>
      <c r="AW201" s="334"/>
      <c r="AX201" s="334"/>
      <c r="AY201" s="334"/>
      <c r="AZ201" s="334"/>
      <c r="BA201" s="334"/>
      <c r="BB201" s="334"/>
      <c r="BC201" s="334"/>
      <c r="BD201" s="334"/>
      <c r="BE201" s="334"/>
      <c r="BF201" s="334"/>
      <c r="BG201" s="334"/>
      <c r="BH201" s="334"/>
    </row>
    <row r="202" spans="1:60" ht="15.75" customHeight="1" x14ac:dyDescent="0.25">
      <c r="A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c r="AE202" s="334"/>
      <c r="AF202" s="334"/>
      <c r="AG202" s="334"/>
      <c r="AH202" s="334"/>
      <c r="AI202" s="334"/>
      <c r="AJ202" s="334"/>
      <c r="AK202" s="334"/>
      <c r="AL202" s="334"/>
      <c r="AM202" s="334"/>
      <c r="AN202" s="334"/>
      <c r="AO202" s="334"/>
      <c r="AP202" s="334"/>
      <c r="AQ202" s="334"/>
      <c r="AR202" s="334"/>
      <c r="AS202" s="334"/>
      <c r="AT202" s="334"/>
      <c r="AU202" s="334"/>
      <c r="AV202" s="334"/>
      <c r="AW202" s="334"/>
      <c r="AX202" s="334"/>
      <c r="AY202" s="334"/>
      <c r="AZ202" s="334"/>
      <c r="BA202" s="334"/>
      <c r="BB202" s="334"/>
      <c r="BC202" s="334"/>
      <c r="BD202" s="334"/>
      <c r="BE202" s="334"/>
      <c r="BF202" s="334"/>
      <c r="BG202" s="334"/>
      <c r="BH202" s="334"/>
    </row>
    <row r="203" spans="1:60" ht="15.75" customHeight="1" x14ac:dyDescent="0.25">
      <c r="A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c r="AE203" s="334"/>
      <c r="AF203" s="334"/>
      <c r="AG203" s="334"/>
      <c r="AH203" s="334"/>
      <c r="AI203" s="334"/>
      <c r="AJ203" s="334"/>
      <c r="AK203" s="334"/>
      <c r="AL203" s="334"/>
      <c r="AM203" s="334"/>
      <c r="AN203" s="334"/>
      <c r="AO203" s="334"/>
      <c r="AP203" s="334"/>
      <c r="AQ203" s="334"/>
      <c r="AR203" s="334"/>
      <c r="AS203" s="334"/>
      <c r="AT203" s="334"/>
      <c r="AU203" s="334"/>
      <c r="AV203" s="334"/>
      <c r="AW203" s="334"/>
      <c r="AX203" s="334"/>
      <c r="AY203" s="334"/>
      <c r="AZ203" s="334"/>
      <c r="BA203" s="334"/>
      <c r="BB203" s="334"/>
      <c r="BC203" s="334"/>
      <c r="BD203" s="334"/>
      <c r="BE203" s="334"/>
      <c r="BF203" s="334"/>
      <c r="BG203" s="334"/>
      <c r="BH203" s="334"/>
    </row>
    <row r="204" spans="1:60" ht="15.75" customHeight="1" x14ac:dyDescent="0.25">
      <c r="A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c r="AE204" s="334"/>
      <c r="AF204" s="334"/>
      <c r="AG204" s="334"/>
      <c r="AH204" s="334"/>
      <c r="AI204" s="334"/>
      <c r="AJ204" s="334"/>
      <c r="AK204" s="334"/>
      <c r="AL204" s="334"/>
      <c r="AM204" s="334"/>
      <c r="AN204" s="334"/>
      <c r="AO204" s="334"/>
      <c r="AP204" s="334"/>
      <c r="AQ204" s="334"/>
      <c r="AR204" s="334"/>
      <c r="AS204" s="334"/>
      <c r="AT204" s="334"/>
      <c r="AU204" s="334"/>
      <c r="AV204" s="334"/>
      <c r="AW204" s="334"/>
      <c r="AX204" s="334"/>
      <c r="AY204" s="334"/>
      <c r="AZ204" s="334"/>
      <c r="BA204" s="334"/>
      <c r="BB204" s="334"/>
      <c r="BC204" s="334"/>
      <c r="BD204" s="334"/>
      <c r="BE204" s="334"/>
      <c r="BF204" s="334"/>
      <c r="BG204" s="334"/>
      <c r="BH204" s="334"/>
    </row>
    <row r="205" spans="1:60" ht="15.75" customHeight="1" x14ac:dyDescent="0.25">
      <c r="A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c r="AE205" s="334"/>
      <c r="AF205" s="334"/>
      <c r="AG205" s="334"/>
      <c r="AH205" s="334"/>
      <c r="AI205" s="334"/>
      <c r="AJ205" s="334"/>
      <c r="AK205" s="334"/>
      <c r="AL205" s="334"/>
      <c r="AM205" s="334"/>
      <c r="AN205" s="334"/>
      <c r="AO205" s="334"/>
      <c r="AP205" s="334"/>
      <c r="AQ205" s="334"/>
      <c r="AR205" s="334"/>
      <c r="AS205" s="334"/>
      <c r="AT205" s="334"/>
      <c r="AU205" s="334"/>
      <c r="AV205" s="334"/>
      <c r="AW205" s="334"/>
      <c r="AX205" s="334"/>
      <c r="AY205" s="334"/>
      <c r="AZ205" s="334"/>
      <c r="BA205" s="334"/>
      <c r="BB205" s="334"/>
      <c r="BC205" s="334"/>
      <c r="BD205" s="334"/>
      <c r="BE205" s="334"/>
      <c r="BF205" s="334"/>
      <c r="BG205" s="334"/>
      <c r="BH205" s="334"/>
    </row>
    <row r="206" spans="1:60" ht="15.75" customHeight="1" x14ac:dyDescent="0.25">
      <c r="A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c r="AE206" s="334"/>
      <c r="AF206" s="334"/>
      <c r="AG206" s="334"/>
      <c r="AH206" s="334"/>
      <c r="AI206" s="334"/>
      <c r="AJ206" s="334"/>
      <c r="AK206" s="334"/>
      <c r="AL206" s="334"/>
      <c r="AM206" s="334"/>
      <c r="AN206" s="334"/>
      <c r="AO206" s="334"/>
      <c r="AP206" s="334"/>
      <c r="AQ206" s="334"/>
      <c r="AR206" s="334"/>
      <c r="AS206" s="334"/>
      <c r="AT206" s="334"/>
      <c r="AU206" s="334"/>
      <c r="AV206" s="334"/>
      <c r="AW206" s="334"/>
      <c r="AX206" s="334"/>
      <c r="AY206" s="334"/>
      <c r="AZ206" s="334"/>
      <c r="BA206" s="334"/>
      <c r="BB206" s="334"/>
      <c r="BC206" s="334"/>
      <c r="BD206" s="334"/>
      <c r="BE206" s="334"/>
      <c r="BF206" s="334"/>
      <c r="BG206" s="334"/>
      <c r="BH206" s="334"/>
    </row>
    <row r="207" spans="1:60" ht="15.75" customHeight="1" x14ac:dyDescent="0.25">
      <c r="A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334"/>
      <c r="AF207" s="334"/>
      <c r="AG207" s="334"/>
      <c r="AH207" s="334"/>
      <c r="AI207" s="334"/>
      <c r="AJ207" s="334"/>
      <c r="AK207" s="334"/>
      <c r="AL207" s="334"/>
      <c r="AM207" s="334"/>
      <c r="AN207" s="334"/>
      <c r="AO207" s="334"/>
      <c r="AP207" s="334"/>
      <c r="AQ207" s="334"/>
      <c r="AR207" s="334"/>
      <c r="AS207" s="334"/>
      <c r="AT207" s="334"/>
      <c r="AU207" s="334"/>
      <c r="AV207" s="334"/>
      <c r="AW207" s="334"/>
      <c r="AX207" s="334"/>
      <c r="AY207" s="334"/>
      <c r="AZ207" s="334"/>
      <c r="BA207" s="334"/>
      <c r="BB207" s="334"/>
      <c r="BC207" s="334"/>
      <c r="BD207" s="334"/>
      <c r="BE207" s="334"/>
      <c r="BF207" s="334"/>
      <c r="BG207" s="334"/>
      <c r="BH207" s="334"/>
    </row>
    <row r="208" spans="1:60" ht="15.75" customHeight="1" x14ac:dyDescent="0.25">
      <c r="A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c r="AE208" s="334"/>
      <c r="AF208" s="334"/>
      <c r="AG208" s="334"/>
      <c r="AH208" s="334"/>
      <c r="AI208" s="334"/>
      <c r="AJ208" s="334"/>
      <c r="AK208" s="334"/>
      <c r="AL208" s="334"/>
      <c r="AM208" s="334"/>
      <c r="AN208" s="334"/>
      <c r="AO208" s="334"/>
      <c r="AP208" s="334"/>
      <c r="AQ208" s="334"/>
      <c r="AR208" s="334"/>
      <c r="AS208" s="334"/>
      <c r="AT208" s="334"/>
      <c r="AU208" s="334"/>
      <c r="AV208" s="334"/>
      <c r="AW208" s="334"/>
      <c r="AX208" s="334"/>
      <c r="AY208" s="334"/>
      <c r="AZ208" s="334"/>
      <c r="BA208" s="334"/>
      <c r="BB208" s="334"/>
      <c r="BC208" s="334"/>
      <c r="BD208" s="334"/>
      <c r="BE208" s="334"/>
      <c r="BF208" s="334"/>
      <c r="BG208" s="334"/>
      <c r="BH208" s="334"/>
    </row>
    <row r="209" spans="1:60" ht="15.75" customHeight="1" x14ac:dyDescent="0.25">
      <c r="A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c r="AE209" s="334"/>
      <c r="AF209" s="334"/>
      <c r="AG209" s="334"/>
      <c r="AH209" s="334"/>
      <c r="AI209" s="334"/>
      <c r="AJ209" s="334"/>
      <c r="AK209" s="334"/>
      <c r="AL209" s="334"/>
      <c r="AM209" s="334"/>
      <c r="AN209" s="334"/>
      <c r="AO209" s="334"/>
      <c r="AP209" s="334"/>
      <c r="AQ209" s="334"/>
      <c r="AR209" s="334"/>
      <c r="AS209" s="334"/>
      <c r="AT209" s="334"/>
      <c r="AU209" s="334"/>
      <c r="AV209" s="334"/>
      <c r="AW209" s="334"/>
      <c r="AX209" s="334"/>
      <c r="AY209" s="334"/>
      <c r="AZ209" s="334"/>
      <c r="BA209" s="334"/>
      <c r="BB209" s="334"/>
      <c r="BC209" s="334"/>
      <c r="BD209" s="334"/>
      <c r="BE209" s="334"/>
      <c r="BF209" s="334"/>
      <c r="BG209" s="334"/>
      <c r="BH209" s="334"/>
    </row>
    <row r="210" spans="1:60" ht="15.75" customHeight="1" x14ac:dyDescent="0.25">
      <c r="A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c r="AE210" s="334"/>
      <c r="AF210" s="334"/>
      <c r="AG210" s="334"/>
      <c r="AH210" s="334"/>
      <c r="AI210" s="334"/>
      <c r="AJ210" s="334"/>
      <c r="AK210" s="334"/>
      <c r="AL210" s="334"/>
      <c r="AM210" s="334"/>
      <c r="AN210" s="334"/>
      <c r="AO210" s="334"/>
      <c r="AP210" s="334"/>
      <c r="AQ210" s="334"/>
      <c r="AR210" s="334"/>
      <c r="AS210" s="334"/>
      <c r="AT210" s="334"/>
      <c r="AU210" s="334"/>
      <c r="AV210" s="334"/>
      <c r="AW210" s="334"/>
      <c r="AX210" s="334"/>
      <c r="AY210" s="334"/>
      <c r="AZ210" s="334"/>
      <c r="BA210" s="334"/>
      <c r="BB210" s="334"/>
      <c r="BC210" s="334"/>
      <c r="BD210" s="334"/>
      <c r="BE210" s="334"/>
      <c r="BF210" s="334"/>
      <c r="BG210" s="334"/>
      <c r="BH210" s="334"/>
    </row>
    <row r="211" spans="1:60" ht="15.75" customHeight="1" x14ac:dyDescent="0.25">
      <c r="A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c r="AE211" s="334"/>
      <c r="AF211" s="334"/>
      <c r="AG211" s="334"/>
      <c r="AH211" s="334"/>
      <c r="AI211" s="334"/>
      <c r="AJ211" s="334"/>
      <c r="AK211" s="334"/>
      <c r="AL211" s="334"/>
      <c r="AM211" s="334"/>
      <c r="AN211" s="334"/>
      <c r="AO211" s="334"/>
      <c r="AP211" s="334"/>
      <c r="AQ211" s="334"/>
      <c r="AR211" s="334"/>
      <c r="AS211" s="334"/>
      <c r="AT211" s="334"/>
      <c r="AU211" s="334"/>
      <c r="AV211" s="334"/>
      <c r="AW211" s="334"/>
      <c r="AX211" s="334"/>
      <c r="AY211" s="334"/>
      <c r="AZ211" s="334"/>
      <c r="BA211" s="334"/>
      <c r="BB211" s="334"/>
      <c r="BC211" s="334"/>
      <c r="BD211" s="334"/>
      <c r="BE211" s="334"/>
      <c r="BF211" s="334"/>
      <c r="BG211" s="334"/>
      <c r="BH211" s="334"/>
    </row>
    <row r="212" spans="1:60" ht="15.75" customHeight="1" x14ac:dyDescent="0.25">
      <c r="A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c r="AE212" s="334"/>
      <c r="AF212" s="334"/>
      <c r="AG212" s="334"/>
      <c r="AH212" s="334"/>
      <c r="AI212" s="334"/>
      <c r="AJ212" s="334"/>
      <c r="AK212" s="334"/>
      <c r="AL212" s="334"/>
      <c r="AM212" s="334"/>
      <c r="AN212" s="334"/>
      <c r="AO212" s="334"/>
      <c r="AP212" s="334"/>
      <c r="AQ212" s="334"/>
      <c r="AR212" s="334"/>
      <c r="AS212" s="334"/>
      <c r="AT212" s="334"/>
      <c r="AU212" s="334"/>
      <c r="AV212" s="334"/>
      <c r="AW212" s="334"/>
      <c r="AX212" s="334"/>
      <c r="AY212" s="334"/>
      <c r="AZ212" s="334"/>
      <c r="BA212" s="334"/>
      <c r="BB212" s="334"/>
      <c r="BC212" s="334"/>
      <c r="BD212" s="334"/>
      <c r="BE212" s="334"/>
      <c r="BF212" s="334"/>
      <c r="BG212" s="334"/>
      <c r="BH212" s="334"/>
    </row>
    <row r="213" spans="1:60" ht="15.75" customHeight="1" x14ac:dyDescent="0.25">
      <c r="A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c r="AE213" s="334"/>
      <c r="AF213" s="334"/>
      <c r="AG213" s="334"/>
      <c r="AH213" s="334"/>
      <c r="AI213" s="334"/>
      <c r="AJ213" s="334"/>
      <c r="AK213" s="334"/>
      <c r="AL213" s="334"/>
      <c r="AM213" s="334"/>
      <c r="AN213" s="334"/>
      <c r="AO213" s="334"/>
      <c r="AP213" s="334"/>
      <c r="AQ213" s="334"/>
      <c r="AR213" s="334"/>
      <c r="AS213" s="334"/>
      <c r="AT213" s="334"/>
      <c r="AU213" s="334"/>
      <c r="AV213" s="334"/>
      <c r="AW213" s="334"/>
      <c r="AX213" s="334"/>
      <c r="AY213" s="334"/>
      <c r="AZ213" s="334"/>
      <c r="BA213" s="334"/>
      <c r="BB213" s="334"/>
      <c r="BC213" s="334"/>
      <c r="BD213" s="334"/>
      <c r="BE213" s="334"/>
      <c r="BF213" s="334"/>
      <c r="BG213" s="334"/>
      <c r="BH213" s="334"/>
    </row>
    <row r="214" spans="1:60" ht="15.75" customHeight="1" x14ac:dyDescent="0.25">
      <c r="A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c r="AE214" s="334"/>
      <c r="AF214" s="334"/>
      <c r="AG214" s="334"/>
      <c r="AH214" s="334"/>
      <c r="AI214" s="334"/>
      <c r="AJ214" s="334"/>
      <c r="AK214" s="334"/>
      <c r="AL214" s="334"/>
      <c r="AM214" s="334"/>
      <c r="AN214" s="334"/>
      <c r="AO214" s="334"/>
      <c r="AP214" s="334"/>
      <c r="AQ214" s="334"/>
      <c r="AR214" s="334"/>
      <c r="AS214" s="334"/>
      <c r="AT214" s="334"/>
      <c r="AU214" s="334"/>
      <c r="AV214" s="334"/>
      <c r="AW214" s="334"/>
      <c r="AX214" s="334"/>
      <c r="AY214" s="334"/>
      <c r="AZ214" s="334"/>
      <c r="BA214" s="334"/>
      <c r="BB214" s="334"/>
      <c r="BC214" s="334"/>
      <c r="BD214" s="334"/>
      <c r="BE214" s="334"/>
      <c r="BF214" s="334"/>
      <c r="BG214" s="334"/>
      <c r="BH214" s="334"/>
    </row>
    <row r="215" spans="1:60" ht="15.75" customHeight="1" x14ac:dyDescent="0.25">
      <c r="A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c r="AE215" s="334"/>
      <c r="AF215" s="334"/>
      <c r="AG215" s="334"/>
      <c r="AH215" s="334"/>
      <c r="AI215" s="334"/>
      <c r="AJ215" s="334"/>
      <c r="AK215" s="334"/>
      <c r="AL215" s="334"/>
      <c r="AM215" s="334"/>
      <c r="AN215" s="334"/>
      <c r="AO215" s="334"/>
      <c r="AP215" s="334"/>
      <c r="AQ215" s="334"/>
      <c r="AR215" s="334"/>
      <c r="AS215" s="334"/>
      <c r="AT215" s="334"/>
      <c r="AU215" s="334"/>
      <c r="AV215" s="334"/>
      <c r="AW215" s="334"/>
      <c r="AX215" s="334"/>
      <c r="AY215" s="334"/>
      <c r="AZ215" s="334"/>
      <c r="BA215" s="334"/>
      <c r="BB215" s="334"/>
      <c r="BC215" s="334"/>
      <c r="BD215" s="334"/>
      <c r="BE215" s="334"/>
      <c r="BF215" s="334"/>
      <c r="BG215" s="334"/>
      <c r="BH215" s="334"/>
    </row>
    <row r="216" spans="1:60" ht="15.75" customHeight="1" x14ac:dyDescent="0.25">
      <c r="A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c r="AE216" s="334"/>
      <c r="AF216" s="334"/>
      <c r="AG216" s="334"/>
      <c r="AH216" s="334"/>
      <c r="AI216" s="334"/>
      <c r="AJ216" s="334"/>
      <c r="AK216" s="334"/>
      <c r="AL216" s="334"/>
      <c r="AM216" s="334"/>
      <c r="AN216" s="334"/>
      <c r="AO216" s="334"/>
      <c r="AP216" s="334"/>
      <c r="AQ216" s="334"/>
      <c r="AR216" s="334"/>
      <c r="AS216" s="334"/>
      <c r="AT216" s="334"/>
      <c r="AU216" s="334"/>
      <c r="AV216" s="334"/>
      <c r="AW216" s="334"/>
      <c r="AX216" s="334"/>
      <c r="AY216" s="334"/>
      <c r="AZ216" s="334"/>
      <c r="BA216" s="334"/>
      <c r="BB216" s="334"/>
      <c r="BC216" s="334"/>
      <c r="BD216" s="334"/>
      <c r="BE216" s="334"/>
      <c r="BF216" s="334"/>
      <c r="BG216" s="334"/>
      <c r="BH216" s="334"/>
    </row>
    <row r="217" spans="1:60" ht="15.75" customHeight="1" x14ac:dyDescent="0.25">
      <c r="A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c r="AE217" s="334"/>
      <c r="AF217" s="334"/>
      <c r="AG217" s="334"/>
      <c r="AH217" s="334"/>
      <c r="AI217" s="334"/>
      <c r="AJ217" s="334"/>
      <c r="AK217" s="334"/>
      <c r="AL217" s="334"/>
      <c r="AM217" s="334"/>
      <c r="AN217" s="334"/>
      <c r="AO217" s="334"/>
      <c r="AP217" s="334"/>
      <c r="AQ217" s="334"/>
      <c r="AR217" s="334"/>
      <c r="AS217" s="334"/>
      <c r="AT217" s="334"/>
      <c r="AU217" s="334"/>
      <c r="AV217" s="334"/>
      <c r="AW217" s="334"/>
      <c r="AX217" s="334"/>
      <c r="AY217" s="334"/>
      <c r="AZ217" s="334"/>
      <c r="BA217" s="334"/>
      <c r="BB217" s="334"/>
      <c r="BC217" s="334"/>
      <c r="BD217" s="334"/>
      <c r="BE217" s="334"/>
      <c r="BF217" s="334"/>
      <c r="BG217" s="334"/>
      <c r="BH217" s="334"/>
    </row>
    <row r="218" spans="1:60" ht="15.75" customHeight="1" x14ac:dyDescent="0.25">
      <c r="A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c r="AE218" s="334"/>
      <c r="AF218" s="334"/>
      <c r="AG218" s="334"/>
      <c r="AH218" s="334"/>
      <c r="AI218" s="334"/>
      <c r="AJ218" s="334"/>
      <c r="AK218" s="334"/>
      <c r="AL218" s="334"/>
      <c r="AM218" s="334"/>
      <c r="AN218" s="334"/>
      <c r="AO218" s="334"/>
      <c r="AP218" s="334"/>
      <c r="AQ218" s="334"/>
      <c r="AR218" s="334"/>
      <c r="AS218" s="334"/>
      <c r="AT218" s="334"/>
      <c r="AU218" s="334"/>
      <c r="AV218" s="334"/>
      <c r="AW218" s="334"/>
      <c r="AX218" s="334"/>
      <c r="AY218" s="334"/>
      <c r="AZ218" s="334"/>
      <c r="BA218" s="334"/>
      <c r="BB218" s="334"/>
      <c r="BC218" s="334"/>
      <c r="BD218" s="334"/>
      <c r="BE218" s="334"/>
      <c r="BF218" s="334"/>
      <c r="BG218" s="334"/>
      <c r="BH218" s="334"/>
    </row>
    <row r="219" spans="1:60" ht="15.75" customHeight="1" x14ac:dyDescent="0.25">
      <c r="A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c r="AE219" s="334"/>
      <c r="AF219" s="334"/>
      <c r="AG219" s="334"/>
      <c r="AH219" s="334"/>
      <c r="AI219" s="334"/>
      <c r="AJ219" s="334"/>
      <c r="AK219" s="334"/>
      <c r="AL219" s="334"/>
      <c r="AM219" s="334"/>
      <c r="AN219" s="334"/>
      <c r="AO219" s="334"/>
      <c r="AP219" s="334"/>
      <c r="AQ219" s="334"/>
      <c r="AR219" s="334"/>
      <c r="AS219" s="334"/>
      <c r="AT219" s="334"/>
      <c r="AU219" s="334"/>
      <c r="AV219" s="334"/>
      <c r="AW219" s="334"/>
      <c r="AX219" s="334"/>
      <c r="AY219" s="334"/>
      <c r="AZ219" s="334"/>
      <c r="BA219" s="334"/>
      <c r="BB219" s="334"/>
      <c r="BC219" s="334"/>
      <c r="BD219" s="334"/>
      <c r="BE219" s="334"/>
      <c r="BF219" s="334"/>
      <c r="BG219" s="334"/>
      <c r="BH219" s="334"/>
    </row>
    <row r="220" spans="1:60" ht="15.75" customHeight="1" x14ac:dyDescent="0.25">
      <c r="A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c r="AE220" s="334"/>
      <c r="AF220" s="334"/>
      <c r="AG220" s="334"/>
      <c r="AH220" s="334"/>
      <c r="AI220" s="334"/>
      <c r="AJ220" s="334"/>
      <c r="AK220" s="334"/>
      <c r="AL220" s="334"/>
      <c r="AM220" s="334"/>
      <c r="AN220" s="334"/>
      <c r="AO220" s="334"/>
      <c r="AP220" s="334"/>
      <c r="AQ220" s="334"/>
      <c r="AR220" s="334"/>
      <c r="AS220" s="334"/>
      <c r="AT220" s="334"/>
      <c r="AU220" s="334"/>
      <c r="AV220" s="334"/>
      <c r="AW220" s="334"/>
      <c r="AX220" s="334"/>
      <c r="AY220" s="334"/>
      <c r="AZ220" s="334"/>
      <c r="BA220" s="334"/>
      <c r="BB220" s="334"/>
      <c r="BC220" s="334"/>
      <c r="BD220" s="334"/>
      <c r="BE220" s="334"/>
      <c r="BF220" s="334"/>
      <c r="BG220" s="334"/>
      <c r="BH220" s="334"/>
    </row>
    <row r="221" spans="1:60" ht="15.75" customHeight="1" x14ac:dyDescent="0.25">
      <c r="A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c r="AE221" s="334"/>
      <c r="AF221" s="334"/>
      <c r="AG221" s="334"/>
      <c r="AH221" s="334"/>
      <c r="AI221" s="334"/>
      <c r="AJ221" s="334"/>
      <c r="AK221" s="334"/>
      <c r="AL221" s="334"/>
      <c r="AM221" s="334"/>
      <c r="AN221" s="334"/>
      <c r="AO221" s="334"/>
      <c r="AP221" s="334"/>
      <c r="AQ221" s="334"/>
      <c r="AR221" s="334"/>
      <c r="AS221" s="334"/>
      <c r="AT221" s="334"/>
      <c r="AU221" s="334"/>
      <c r="AV221" s="334"/>
      <c r="AW221" s="334"/>
      <c r="AX221" s="334"/>
      <c r="AY221" s="334"/>
      <c r="AZ221" s="334"/>
      <c r="BA221" s="334"/>
      <c r="BB221" s="334"/>
      <c r="BC221" s="334"/>
      <c r="BD221" s="334"/>
      <c r="BE221" s="334"/>
      <c r="BF221" s="334"/>
      <c r="BG221" s="334"/>
      <c r="BH221" s="334"/>
    </row>
    <row r="222" spans="1:60" ht="15.75" customHeight="1" x14ac:dyDescent="0.25">
      <c r="A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c r="AE222" s="334"/>
      <c r="AF222" s="334"/>
      <c r="AG222" s="334"/>
      <c r="AH222" s="334"/>
      <c r="AI222" s="334"/>
      <c r="AJ222" s="334"/>
      <c r="AK222" s="334"/>
      <c r="AL222" s="334"/>
      <c r="AM222" s="334"/>
      <c r="AN222" s="334"/>
      <c r="AO222" s="334"/>
      <c r="AP222" s="334"/>
      <c r="AQ222" s="334"/>
      <c r="AR222" s="334"/>
      <c r="AS222" s="334"/>
      <c r="AT222" s="334"/>
      <c r="AU222" s="334"/>
      <c r="AV222" s="334"/>
      <c r="AW222" s="334"/>
      <c r="AX222" s="334"/>
      <c r="AY222" s="334"/>
      <c r="AZ222" s="334"/>
      <c r="BA222" s="334"/>
      <c r="BB222" s="334"/>
      <c r="BC222" s="334"/>
      <c r="BD222" s="334"/>
      <c r="BE222" s="334"/>
      <c r="BF222" s="334"/>
      <c r="BG222" s="334"/>
      <c r="BH222" s="334"/>
    </row>
    <row r="223" spans="1:60" ht="15.75" customHeight="1" x14ac:dyDescent="0.25">
      <c r="A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c r="AE223" s="334"/>
      <c r="AF223" s="334"/>
      <c r="AG223" s="334"/>
      <c r="AH223" s="334"/>
      <c r="AI223" s="334"/>
      <c r="AJ223" s="334"/>
      <c r="AK223" s="334"/>
      <c r="AL223" s="334"/>
      <c r="AM223" s="334"/>
      <c r="AN223" s="334"/>
      <c r="AO223" s="334"/>
      <c r="AP223" s="334"/>
      <c r="AQ223" s="334"/>
      <c r="AR223" s="334"/>
      <c r="AS223" s="334"/>
      <c r="AT223" s="334"/>
      <c r="AU223" s="334"/>
      <c r="AV223" s="334"/>
      <c r="AW223" s="334"/>
      <c r="AX223" s="334"/>
      <c r="AY223" s="334"/>
      <c r="AZ223" s="334"/>
      <c r="BA223" s="334"/>
      <c r="BB223" s="334"/>
      <c r="BC223" s="334"/>
      <c r="BD223" s="334"/>
      <c r="BE223" s="334"/>
      <c r="BF223" s="334"/>
      <c r="BG223" s="334"/>
      <c r="BH223" s="334"/>
    </row>
    <row r="224" spans="1:60" ht="15.75" customHeight="1" x14ac:dyDescent="0.25">
      <c r="A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c r="AE224" s="334"/>
      <c r="AF224" s="334"/>
      <c r="AG224" s="334"/>
      <c r="AH224" s="334"/>
      <c r="AI224" s="334"/>
      <c r="AJ224" s="334"/>
      <c r="AK224" s="334"/>
      <c r="AL224" s="334"/>
      <c r="AM224" s="334"/>
      <c r="AN224" s="334"/>
      <c r="AO224" s="334"/>
      <c r="AP224" s="334"/>
      <c r="AQ224" s="334"/>
      <c r="AR224" s="334"/>
      <c r="AS224" s="334"/>
      <c r="AT224" s="334"/>
      <c r="AU224" s="334"/>
      <c r="AV224" s="334"/>
      <c r="AW224" s="334"/>
      <c r="AX224" s="334"/>
      <c r="AY224" s="334"/>
      <c r="AZ224" s="334"/>
      <c r="BA224" s="334"/>
      <c r="BB224" s="334"/>
      <c r="BC224" s="334"/>
      <c r="BD224" s="334"/>
      <c r="BE224" s="334"/>
      <c r="BF224" s="334"/>
      <c r="BG224" s="334"/>
      <c r="BH224" s="334"/>
    </row>
    <row r="225" spans="1:60" ht="15.75" customHeight="1" x14ac:dyDescent="0.25">
      <c r="A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c r="AE225" s="334"/>
      <c r="AF225" s="334"/>
      <c r="AG225" s="334"/>
      <c r="AH225" s="334"/>
      <c r="AI225" s="334"/>
      <c r="AJ225" s="334"/>
      <c r="AK225" s="334"/>
      <c r="AL225" s="334"/>
      <c r="AM225" s="334"/>
      <c r="AN225" s="334"/>
      <c r="AO225" s="334"/>
      <c r="AP225" s="334"/>
      <c r="AQ225" s="334"/>
      <c r="AR225" s="334"/>
      <c r="AS225" s="334"/>
      <c r="AT225" s="334"/>
      <c r="AU225" s="334"/>
      <c r="AV225" s="334"/>
      <c r="AW225" s="334"/>
      <c r="AX225" s="334"/>
      <c r="AY225" s="334"/>
      <c r="AZ225" s="334"/>
      <c r="BA225" s="334"/>
      <c r="BB225" s="334"/>
      <c r="BC225" s="334"/>
      <c r="BD225" s="334"/>
      <c r="BE225" s="334"/>
      <c r="BF225" s="334"/>
      <c r="BG225" s="334"/>
      <c r="BH225" s="334"/>
    </row>
    <row r="226" spans="1:60" ht="15.75" customHeight="1" x14ac:dyDescent="0.25">
      <c r="A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c r="AE226" s="334"/>
      <c r="AF226" s="334"/>
      <c r="AG226" s="334"/>
      <c r="AH226" s="334"/>
      <c r="AI226" s="334"/>
      <c r="AJ226" s="334"/>
      <c r="AK226" s="334"/>
      <c r="AL226" s="334"/>
      <c r="AM226" s="334"/>
      <c r="AN226" s="334"/>
      <c r="AO226" s="334"/>
      <c r="AP226" s="334"/>
      <c r="AQ226" s="334"/>
      <c r="AR226" s="334"/>
      <c r="AS226" s="334"/>
      <c r="AT226" s="334"/>
      <c r="AU226" s="334"/>
      <c r="AV226" s="334"/>
      <c r="AW226" s="334"/>
      <c r="AX226" s="334"/>
      <c r="AY226" s="334"/>
      <c r="AZ226" s="334"/>
      <c r="BA226" s="334"/>
      <c r="BB226" s="334"/>
      <c r="BC226" s="334"/>
      <c r="BD226" s="334"/>
      <c r="BE226" s="334"/>
      <c r="BF226" s="334"/>
      <c r="BG226" s="334"/>
      <c r="BH226" s="334"/>
    </row>
    <row r="227" spans="1:60" ht="15.75" customHeight="1" x14ac:dyDescent="0.25">
      <c r="A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c r="AE227" s="334"/>
      <c r="AF227" s="334"/>
      <c r="AG227" s="334"/>
      <c r="AH227" s="334"/>
      <c r="AI227" s="334"/>
      <c r="AJ227" s="334"/>
      <c r="AK227" s="334"/>
      <c r="AL227" s="334"/>
      <c r="AM227" s="334"/>
      <c r="AN227" s="334"/>
      <c r="AO227" s="334"/>
      <c r="AP227" s="334"/>
      <c r="AQ227" s="334"/>
      <c r="AR227" s="334"/>
      <c r="AS227" s="334"/>
      <c r="AT227" s="334"/>
      <c r="AU227" s="334"/>
      <c r="AV227" s="334"/>
      <c r="AW227" s="334"/>
      <c r="AX227" s="334"/>
      <c r="AY227" s="334"/>
      <c r="AZ227" s="334"/>
      <c r="BA227" s="334"/>
      <c r="BB227" s="334"/>
      <c r="BC227" s="334"/>
      <c r="BD227" s="334"/>
      <c r="BE227" s="334"/>
      <c r="BF227" s="334"/>
      <c r="BG227" s="334"/>
      <c r="BH227" s="334"/>
    </row>
    <row r="228" spans="1:60" ht="15.75" customHeight="1" x14ac:dyDescent="0.25">
      <c r="A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c r="AE228" s="334"/>
      <c r="AF228" s="334"/>
      <c r="AG228" s="334"/>
      <c r="AH228" s="334"/>
      <c r="AI228" s="334"/>
      <c r="AJ228" s="334"/>
      <c r="AK228" s="334"/>
      <c r="AL228" s="334"/>
      <c r="AM228" s="334"/>
      <c r="AN228" s="334"/>
      <c r="AO228" s="334"/>
      <c r="AP228" s="334"/>
      <c r="AQ228" s="334"/>
      <c r="AR228" s="334"/>
      <c r="AS228" s="334"/>
      <c r="AT228" s="334"/>
      <c r="AU228" s="334"/>
      <c r="AV228" s="334"/>
      <c r="AW228" s="334"/>
      <c r="AX228" s="334"/>
      <c r="AY228" s="334"/>
      <c r="AZ228" s="334"/>
      <c r="BA228" s="334"/>
      <c r="BB228" s="334"/>
      <c r="BC228" s="334"/>
      <c r="BD228" s="334"/>
      <c r="BE228" s="334"/>
      <c r="BF228" s="334"/>
      <c r="BG228" s="334"/>
      <c r="BH228" s="334"/>
    </row>
    <row r="229" spans="1:60" ht="15.75" customHeight="1" x14ac:dyDescent="0.25">
      <c r="A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c r="AE229" s="334"/>
      <c r="AF229" s="334"/>
      <c r="AG229" s="334"/>
      <c r="AH229" s="334"/>
      <c r="AI229" s="334"/>
      <c r="AJ229" s="334"/>
      <c r="AK229" s="334"/>
      <c r="AL229" s="334"/>
      <c r="AM229" s="334"/>
      <c r="AN229" s="334"/>
      <c r="AO229" s="334"/>
      <c r="AP229" s="334"/>
      <c r="AQ229" s="334"/>
      <c r="AR229" s="334"/>
      <c r="AS229" s="334"/>
      <c r="AT229" s="334"/>
      <c r="AU229" s="334"/>
      <c r="AV229" s="334"/>
      <c r="AW229" s="334"/>
      <c r="AX229" s="334"/>
      <c r="AY229" s="334"/>
      <c r="AZ229" s="334"/>
      <c r="BA229" s="334"/>
      <c r="BB229" s="334"/>
      <c r="BC229" s="334"/>
      <c r="BD229" s="334"/>
      <c r="BE229" s="334"/>
      <c r="BF229" s="334"/>
      <c r="BG229" s="334"/>
      <c r="BH229" s="334"/>
    </row>
    <row r="230" spans="1:60" ht="15.75" customHeight="1" x14ac:dyDescent="0.25">
      <c r="A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c r="AE230" s="334"/>
      <c r="AF230" s="334"/>
      <c r="AG230" s="334"/>
      <c r="AH230" s="334"/>
      <c r="AI230" s="334"/>
      <c r="AJ230" s="334"/>
      <c r="AK230" s="334"/>
      <c r="AL230" s="334"/>
      <c r="AM230" s="334"/>
      <c r="AN230" s="334"/>
      <c r="AO230" s="334"/>
      <c r="AP230" s="334"/>
      <c r="AQ230" s="334"/>
      <c r="AR230" s="334"/>
      <c r="AS230" s="334"/>
      <c r="AT230" s="334"/>
      <c r="AU230" s="334"/>
      <c r="AV230" s="334"/>
      <c r="AW230" s="334"/>
      <c r="AX230" s="334"/>
      <c r="AY230" s="334"/>
      <c r="AZ230" s="334"/>
      <c r="BA230" s="334"/>
      <c r="BB230" s="334"/>
      <c r="BC230" s="334"/>
      <c r="BD230" s="334"/>
      <c r="BE230" s="334"/>
      <c r="BF230" s="334"/>
      <c r="BG230" s="334"/>
      <c r="BH230" s="334"/>
    </row>
    <row r="231" spans="1:60" ht="15.75" customHeight="1" x14ac:dyDescent="0.25">
      <c r="A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c r="AE231" s="334"/>
      <c r="AF231" s="334"/>
      <c r="AG231" s="334"/>
      <c r="AH231" s="334"/>
      <c r="AI231" s="334"/>
      <c r="AJ231" s="334"/>
      <c r="AK231" s="334"/>
      <c r="AL231" s="334"/>
      <c r="AM231" s="334"/>
      <c r="AN231" s="334"/>
      <c r="AO231" s="334"/>
      <c r="AP231" s="334"/>
      <c r="AQ231" s="334"/>
      <c r="AR231" s="334"/>
      <c r="AS231" s="334"/>
      <c r="AT231" s="334"/>
      <c r="AU231" s="334"/>
      <c r="AV231" s="334"/>
      <c r="AW231" s="334"/>
      <c r="AX231" s="334"/>
      <c r="AY231" s="334"/>
      <c r="AZ231" s="334"/>
      <c r="BA231" s="334"/>
      <c r="BB231" s="334"/>
      <c r="BC231" s="334"/>
      <c r="BD231" s="334"/>
      <c r="BE231" s="334"/>
      <c r="BF231" s="334"/>
      <c r="BG231" s="334"/>
      <c r="BH231" s="334"/>
    </row>
    <row r="232" spans="1:60" ht="15.75" customHeight="1" x14ac:dyDescent="0.25">
      <c r="A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row>
    <row r="233" spans="1:60" ht="15.75" customHeight="1" x14ac:dyDescent="0.25">
      <c r="A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c r="AE233" s="334"/>
      <c r="AF233" s="334"/>
      <c r="AG233" s="334"/>
      <c r="AH233" s="334"/>
      <c r="AI233" s="334"/>
      <c r="AJ233" s="334"/>
      <c r="AK233" s="334"/>
      <c r="AL233" s="334"/>
      <c r="AM233" s="334"/>
      <c r="AN233" s="334"/>
      <c r="AO233" s="334"/>
      <c r="AP233" s="334"/>
      <c r="AQ233" s="334"/>
      <c r="AR233" s="334"/>
      <c r="AS233" s="334"/>
      <c r="AT233" s="334"/>
      <c r="AU233" s="334"/>
      <c r="AV233" s="334"/>
      <c r="AW233" s="334"/>
      <c r="AX233" s="334"/>
      <c r="AY233" s="334"/>
      <c r="AZ233" s="334"/>
      <c r="BA233" s="334"/>
      <c r="BB233" s="334"/>
      <c r="BC233" s="334"/>
      <c r="BD233" s="334"/>
      <c r="BE233" s="334"/>
      <c r="BF233" s="334"/>
      <c r="BG233" s="334"/>
      <c r="BH233" s="334"/>
    </row>
    <row r="234" spans="1:60" ht="15.75" customHeight="1" x14ac:dyDescent="0.25">
      <c r="A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c r="AE234" s="334"/>
      <c r="AF234" s="334"/>
      <c r="AG234" s="334"/>
      <c r="AH234" s="334"/>
      <c r="AI234" s="334"/>
      <c r="AJ234" s="334"/>
      <c r="AK234" s="334"/>
      <c r="AL234" s="334"/>
      <c r="AM234" s="334"/>
      <c r="AN234" s="334"/>
      <c r="AO234" s="334"/>
      <c r="AP234" s="334"/>
      <c r="AQ234" s="334"/>
      <c r="AR234" s="334"/>
      <c r="AS234" s="334"/>
      <c r="AT234" s="334"/>
      <c r="AU234" s="334"/>
      <c r="AV234" s="334"/>
      <c r="AW234" s="334"/>
      <c r="AX234" s="334"/>
      <c r="AY234" s="334"/>
      <c r="AZ234" s="334"/>
      <c r="BA234" s="334"/>
      <c r="BB234" s="334"/>
      <c r="BC234" s="334"/>
      <c r="BD234" s="334"/>
      <c r="BE234" s="334"/>
      <c r="BF234" s="334"/>
      <c r="BG234" s="334"/>
      <c r="BH234" s="334"/>
    </row>
    <row r="235" spans="1:60" ht="15.75" customHeight="1" x14ac:dyDescent="0.25">
      <c r="A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c r="AE235" s="334"/>
      <c r="AF235" s="334"/>
      <c r="AG235" s="334"/>
      <c r="AH235" s="334"/>
      <c r="AI235" s="334"/>
      <c r="AJ235" s="334"/>
      <c r="AK235" s="334"/>
      <c r="AL235" s="334"/>
      <c r="AM235" s="334"/>
      <c r="AN235" s="334"/>
      <c r="AO235" s="334"/>
      <c r="AP235" s="334"/>
      <c r="AQ235" s="334"/>
      <c r="AR235" s="334"/>
      <c r="AS235" s="334"/>
      <c r="AT235" s="334"/>
      <c r="AU235" s="334"/>
      <c r="AV235" s="334"/>
      <c r="AW235" s="334"/>
      <c r="AX235" s="334"/>
      <c r="AY235" s="334"/>
      <c r="AZ235" s="334"/>
      <c r="BA235" s="334"/>
      <c r="BB235" s="334"/>
      <c r="BC235" s="334"/>
      <c r="BD235" s="334"/>
      <c r="BE235" s="334"/>
      <c r="BF235" s="334"/>
      <c r="BG235" s="334"/>
      <c r="BH235" s="334"/>
    </row>
    <row r="236" spans="1:60" ht="15.75" customHeight="1" x14ac:dyDescent="0.25">
      <c r="A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c r="AE236" s="334"/>
      <c r="AF236" s="334"/>
      <c r="AG236" s="334"/>
      <c r="AH236" s="334"/>
      <c r="AI236" s="334"/>
      <c r="AJ236" s="334"/>
      <c r="AK236" s="334"/>
      <c r="AL236" s="334"/>
      <c r="AM236" s="334"/>
      <c r="AN236" s="334"/>
      <c r="AO236" s="334"/>
      <c r="AP236" s="334"/>
      <c r="AQ236" s="334"/>
      <c r="AR236" s="334"/>
      <c r="AS236" s="334"/>
      <c r="AT236" s="334"/>
      <c r="AU236" s="334"/>
      <c r="AV236" s="334"/>
      <c r="AW236" s="334"/>
      <c r="AX236" s="334"/>
      <c r="AY236" s="334"/>
      <c r="AZ236" s="334"/>
      <c r="BA236" s="334"/>
      <c r="BB236" s="334"/>
      <c r="BC236" s="334"/>
      <c r="BD236" s="334"/>
      <c r="BE236" s="334"/>
      <c r="BF236" s="334"/>
      <c r="BG236" s="334"/>
      <c r="BH236" s="334"/>
    </row>
    <row r="237" spans="1:60" ht="15.75" customHeight="1" x14ac:dyDescent="0.25">
      <c r="A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c r="AE237" s="334"/>
      <c r="AF237" s="334"/>
      <c r="AG237" s="334"/>
      <c r="AH237" s="334"/>
      <c r="AI237" s="334"/>
      <c r="AJ237" s="334"/>
      <c r="AK237" s="334"/>
      <c r="AL237" s="334"/>
      <c r="AM237" s="334"/>
      <c r="AN237" s="334"/>
      <c r="AO237" s="334"/>
      <c r="AP237" s="334"/>
      <c r="AQ237" s="334"/>
      <c r="AR237" s="334"/>
      <c r="AS237" s="334"/>
      <c r="AT237" s="334"/>
      <c r="AU237" s="334"/>
      <c r="AV237" s="334"/>
      <c r="AW237" s="334"/>
      <c r="AX237" s="334"/>
      <c r="AY237" s="334"/>
      <c r="AZ237" s="334"/>
      <c r="BA237" s="334"/>
      <c r="BB237" s="334"/>
      <c r="BC237" s="334"/>
      <c r="BD237" s="334"/>
      <c r="BE237" s="334"/>
      <c r="BF237" s="334"/>
      <c r="BG237" s="334"/>
      <c r="BH237" s="334"/>
    </row>
    <row r="238" spans="1:60" ht="15.75" customHeight="1" x14ac:dyDescent="0.25">
      <c r="A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c r="AE238" s="334"/>
      <c r="AF238" s="334"/>
      <c r="AG238" s="334"/>
      <c r="AH238" s="334"/>
      <c r="AI238" s="334"/>
      <c r="AJ238" s="334"/>
      <c r="AK238" s="334"/>
      <c r="AL238" s="334"/>
      <c r="AM238" s="334"/>
      <c r="AN238" s="334"/>
      <c r="AO238" s="334"/>
      <c r="AP238" s="334"/>
      <c r="AQ238" s="334"/>
      <c r="AR238" s="334"/>
      <c r="AS238" s="334"/>
      <c r="AT238" s="334"/>
      <c r="AU238" s="334"/>
      <c r="AV238" s="334"/>
      <c r="AW238" s="334"/>
      <c r="AX238" s="334"/>
      <c r="AY238" s="334"/>
      <c r="AZ238" s="334"/>
      <c r="BA238" s="334"/>
      <c r="BB238" s="334"/>
      <c r="BC238" s="334"/>
      <c r="BD238" s="334"/>
      <c r="BE238" s="334"/>
      <c r="BF238" s="334"/>
      <c r="BG238" s="334"/>
      <c r="BH238" s="334"/>
    </row>
    <row r="239" spans="1:60" ht="15.75" customHeight="1" x14ac:dyDescent="0.25">
      <c r="A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c r="AE239" s="334"/>
      <c r="AF239" s="334"/>
      <c r="AG239" s="334"/>
      <c r="AH239" s="334"/>
      <c r="AI239" s="334"/>
      <c r="AJ239" s="334"/>
      <c r="AK239" s="334"/>
      <c r="AL239" s="334"/>
      <c r="AM239" s="334"/>
      <c r="AN239" s="334"/>
      <c r="AO239" s="334"/>
      <c r="AP239" s="334"/>
      <c r="AQ239" s="334"/>
      <c r="AR239" s="334"/>
      <c r="AS239" s="334"/>
      <c r="AT239" s="334"/>
      <c r="AU239" s="334"/>
      <c r="AV239" s="334"/>
      <c r="AW239" s="334"/>
      <c r="AX239" s="334"/>
      <c r="AY239" s="334"/>
      <c r="AZ239" s="334"/>
      <c r="BA239" s="334"/>
      <c r="BB239" s="334"/>
      <c r="BC239" s="334"/>
      <c r="BD239" s="334"/>
      <c r="BE239" s="334"/>
      <c r="BF239" s="334"/>
      <c r="BG239" s="334"/>
      <c r="BH239" s="334"/>
    </row>
    <row r="240" spans="1:60" ht="15.75" customHeight="1" x14ac:dyDescent="0.25">
      <c r="A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c r="AE240" s="334"/>
      <c r="AF240" s="334"/>
      <c r="AG240" s="334"/>
      <c r="AH240" s="334"/>
      <c r="AI240" s="334"/>
      <c r="AJ240" s="334"/>
      <c r="AK240" s="334"/>
      <c r="AL240" s="334"/>
      <c r="AM240" s="334"/>
      <c r="AN240" s="334"/>
      <c r="AO240" s="334"/>
      <c r="AP240" s="334"/>
      <c r="AQ240" s="334"/>
      <c r="AR240" s="334"/>
      <c r="AS240" s="334"/>
      <c r="AT240" s="334"/>
      <c r="AU240" s="334"/>
      <c r="AV240" s="334"/>
      <c r="AW240" s="334"/>
      <c r="AX240" s="334"/>
      <c r="AY240" s="334"/>
      <c r="AZ240" s="334"/>
      <c r="BA240" s="334"/>
      <c r="BB240" s="334"/>
      <c r="BC240" s="334"/>
      <c r="BD240" s="334"/>
      <c r="BE240" s="334"/>
      <c r="BF240" s="334"/>
      <c r="BG240" s="334"/>
      <c r="BH240" s="334"/>
    </row>
    <row r="241" spans="1:60" ht="15.75" customHeight="1" x14ac:dyDescent="0.25">
      <c r="A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c r="AE241" s="334"/>
      <c r="AF241" s="334"/>
      <c r="AG241" s="334"/>
      <c r="AH241" s="334"/>
      <c r="AI241" s="334"/>
      <c r="AJ241" s="334"/>
      <c r="AK241" s="334"/>
      <c r="AL241" s="334"/>
      <c r="AM241" s="334"/>
      <c r="AN241" s="334"/>
      <c r="AO241" s="334"/>
      <c r="AP241" s="334"/>
      <c r="AQ241" s="334"/>
      <c r="AR241" s="334"/>
      <c r="AS241" s="334"/>
      <c r="AT241" s="334"/>
      <c r="AU241" s="334"/>
      <c r="AV241" s="334"/>
      <c r="AW241" s="334"/>
      <c r="AX241" s="334"/>
      <c r="AY241" s="334"/>
      <c r="AZ241" s="334"/>
      <c r="BA241" s="334"/>
      <c r="BB241" s="334"/>
      <c r="BC241" s="334"/>
      <c r="BD241" s="334"/>
      <c r="BE241" s="334"/>
      <c r="BF241" s="334"/>
      <c r="BG241" s="334"/>
      <c r="BH241" s="334"/>
    </row>
    <row r="242" spans="1:60" ht="15.75" customHeight="1" x14ac:dyDescent="0.25">
      <c r="A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c r="AE242" s="334"/>
      <c r="AF242" s="334"/>
      <c r="AG242" s="334"/>
      <c r="AH242" s="334"/>
      <c r="AI242" s="334"/>
      <c r="AJ242" s="334"/>
      <c r="AK242" s="334"/>
      <c r="AL242" s="334"/>
      <c r="AM242" s="334"/>
      <c r="AN242" s="334"/>
      <c r="AO242" s="334"/>
      <c r="AP242" s="334"/>
      <c r="AQ242" s="334"/>
      <c r="AR242" s="334"/>
      <c r="AS242" s="334"/>
      <c r="AT242" s="334"/>
      <c r="AU242" s="334"/>
      <c r="AV242" s="334"/>
      <c r="AW242" s="334"/>
      <c r="AX242" s="334"/>
      <c r="AY242" s="334"/>
      <c r="AZ242" s="334"/>
      <c r="BA242" s="334"/>
      <c r="BB242" s="334"/>
      <c r="BC242" s="334"/>
      <c r="BD242" s="334"/>
      <c r="BE242" s="334"/>
      <c r="BF242" s="334"/>
      <c r="BG242" s="334"/>
      <c r="BH242" s="334"/>
    </row>
    <row r="243" spans="1:60" ht="15.75" customHeight="1" x14ac:dyDescent="0.25">
      <c r="A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c r="AE243" s="334"/>
      <c r="AF243" s="334"/>
      <c r="AG243" s="334"/>
      <c r="AH243" s="334"/>
      <c r="AI243" s="334"/>
      <c r="AJ243" s="334"/>
      <c r="AK243" s="334"/>
      <c r="AL243" s="334"/>
      <c r="AM243" s="334"/>
      <c r="AN243" s="334"/>
      <c r="AO243" s="334"/>
      <c r="AP243" s="334"/>
      <c r="AQ243" s="334"/>
      <c r="AR243" s="334"/>
      <c r="AS243" s="334"/>
      <c r="AT243" s="334"/>
      <c r="AU243" s="334"/>
      <c r="AV243" s="334"/>
      <c r="AW243" s="334"/>
      <c r="AX243" s="334"/>
      <c r="AY243" s="334"/>
      <c r="AZ243" s="334"/>
      <c r="BA243" s="334"/>
      <c r="BB243" s="334"/>
      <c r="BC243" s="334"/>
      <c r="BD243" s="334"/>
      <c r="BE243" s="334"/>
      <c r="BF243" s="334"/>
      <c r="BG243" s="334"/>
      <c r="BH243" s="334"/>
    </row>
    <row r="244" spans="1:60" ht="15.75" customHeight="1" x14ac:dyDescent="0.25">
      <c r="A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c r="AE244" s="334"/>
      <c r="AF244" s="334"/>
      <c r="AG244" s="334"/>
      <c r="AH244" s="334"/>
      <c r="AI244" s="334"/>
      <c r="AJ244" s="334"/>
      <c r="AK244" s="334"/>
      <c r="AL244" s="334"/>
      <c r="AM244" s="334"/>
      <c r="AN244" s="334"/>
      <c r="AO244" s="334"/>
      <c r="AP244" s="334"/>
      <c r="AQ244" s="334"/>
      <c r="AR244" s="334"/>
      <c r="AS244" s="334"/>
      <c r="AT244" s="334"/>
      <c r="AU244" s="334"/>
      <c r="AV244" s="334"/>
      <c r="AW244" s="334"/>
      <c r="AX244" s="334"/>
      <c r="AY244" s="334"/>
      <c r="AZ244" s="334"/>
      <c r="BA244" s="334"/>
      <c r="BB244" s="334"/>
      <c r="BC244" s="334"/>
      <c r="BD244" s="334"/>
      <c r="BE244" s="334"/>
      <c r="BF244" s="334"/>
      <c r="BG244" s="334"/>
      <c r="BH244" s="334"/>
    </row>
    <row r="245" spans="1:60" ht="15.75" customHeight="1" x14ac:dyDescent="0.25">
      <c r="A245" s="334"/>
    </row>
    <row r="246" spans="1:60" ht="15.75" customHeight="1" x14ac:dyDescent="0.25">
      <c r="A246" s="334"/>
    </row>
    <row r="247" spans="1:60" ht="15.75" customHeight="1" x14ac:dyDescent="0.25">
      <c r="A247" s="334"/>
    </row>
    <row r="248" spans="1:60" ht="15.75" customHeight="1" x14ac:dyDescent="0.25">
      <c r="A248" s="334"/>
    </row>
    <row r="249" spans="1:60" ht="15.75" customHeight="1" x14ac:dyDescent="0.2"/>
    <row r="250" spans="1:60" ht="15.75" customHeight="1" x14ac:dyDescent="0.2"/>
    <row r="251" spans="1:60" ht="15.75" customHeight="1" x14ac:dyDescent="0.2"/>
    <row r="252" spans="1:60" ht="15.75" customHeight="1" x14ac:dyDescent="0.2"/>
    <row r="253" spans="1:60" ht="15.75" customHeight="1" x14ac:dyDescent="0.2"/>
    <row r="254" spans="1:60" ht="15.75" customHeight="1" x14ac:dyDescent="0.2"/>
    <row r="255" spans="1:60" ht="15.75" customHeight="1" x14ac:dyDescent="0.2"/>
    <row r="256" spans="1:60"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0866141732283472" right="0.70866141732283472" top="0.74803149606299213" bottom="0.74803149606299213" header="0" footer="0"/>
  <pageSetup scale="33" orientation="portrait" r:id="rId1"/>
  <headerFooter>
    <oddHeader>&amp;L&amp;G&amp;C&amp;"Verdana,Negrita"MATRIZ DE RIESGOS</oddHeader>
    <oddFooter>&amp;RCódigo:E-02-F-014
Versión: 5
Fecha: Ver Isolución</oddFooter>
  </headerFooter>
  <colBreaks count="1" manualBreakCount="1">
    <brk id="46" max="1048575"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A1:C1005"/>
  <sheetViews>
    <sheetView zoomScale="115" zoomScaleNormal="115" workbookViewId="0">
      <selection activeCell="B5" sqref="B5"/>
    </sheetView>
  </sheetViews>
  <sheetFormatPr baseColWidth="10" defaultColWidth="12.625" defaultRowHeight="15" customHeight="1" x14ac:dyDescent="0.2"/>
  <cols>
    <col min="1" max="1" width="32.625" bestFit="1" customWidth="1"/>
    <col min="2" max="2" width="78" customWidth="1"/>
    <col min="3" max="3" width="33.875" customWidth="1"/>
    <col min="4" max="5" width="9.375" customWidth="1"/>
    <col min="6" max="6" width="15.875" customWidth="1"/>
    <col min="7" max="26" width="9.375" customWidth="1"/>
  </cols>
  <sheetData>
    <row r="1" spans="1:3" ht="6" customHeight="1" x14ac:dyDescent="0.2"/>
    <row r="2" spans="1:3" ht="24.75" customHeight="1" x14ac:dyDescent="0.2">
      <c r="A2" s="762" t="s">
        <v>19</v>
      </c>
      <c r="B2" s="762"/>
      <c r="C2" s="762"/>
    </row>
    <row r="3" spans="1:3" ht="33.75" customHeight="1" x14ac:dyDescent="0.2">
      <c r="A3" s="118" t="s">
        <v>20</v>
      </c>
      <c r="B3" s="119" t="s">
        <v>21</v>
      </c>
      <c r="C3" s="118" t="s">
        <v>22</v>
      </c>
    </row>
    <row r="4" spans="1:3" ht="186" customHeight="1" x14ac:dyDescent="0.2">
      <c r="A4" s="605" t="s">
        <v>23</v>
      </c>
      <c r="B4" s="403" t="s">
        <v>24</v>
      </c>
      <c r="C4" s="234" t="s">
        <v>25</v>
      </c>
    </row>
    <row r="5" spans="1:3" ht="123.75" customHeight="1" x14ac:dyDescent="0.2">
      <c r="A5" s="574" t="s">
        <v>26</v>
      </c>
      <c r="B5" s="403" t="s">
        <v>27</v>
      </c>
      <c r="C5" s="234" t="s">
        <v>28</v>
      </c>
    </row>
    <row r="6" spans="1:3" ht="196.5" customHeight="1" x14ac:dyDescent="0.2">
      <c r="A6" s="232" t="s">
        <v>29</v>
      </c>
      <c r="B6" s="403" t="s">
        <v>30</v>
      </c>
      <c r="C6" s="234" t="s">
        <v>31</v>
      </c>
    </row>
    <row r="7" spans="1:3" ht="200.25" customHeight="1" x14ac:dyDescent="0.2">
      <c r="A7" s="232" t="s">
        <v>32</v>
      </c>
      <c r="B7" s="537" t="s">
        <v>33</v>
      </c>
      <c r="C7" s="234" t="s">
        <v>34</v>
      </c>
    </row>
    <row r="8" spans="1:3" ht="159" customHeight="1" x14ac:dyDescent="0.2">
      <c r="A8" s="232" t="s">
        <v>35</v>
      </c>
      <c r="B8" s="403" t="s">
        <v>36</v>
      </c>
      <c r="C8" s="234" t="s">
        <v>37</v>
      </c>
    </row>
    <row r="9" spans="1:3" ht="409.5" x14ac:dyDescent="0.2">
      <c r="A9" s="232" t="s">
        <v>38</v>
      </c>
      <c r="B9" s="403" t="s">
        <v>39</v>
      </c>
      <c r="C9" s="234" t="s">
        <v>40</v>
      </c>
    </row>
    <row r="10" spans="1:3" ht="14.25" x14ac:dyDescent="0.2">
      <c r="A10" s="763" t="s">
        <v>41</v>
      </c>
      <c r="B10" s="766" t="s">
        <v>42</v>
      </c>
      <c r="C10" s="769" t="s">
        <v>43</v>
      </c>
    </row>
    <row r="11" spans="1:3" ht="15" customHeight="1" x14ac:dyDescent="0.2">
      <c r="A11" s="764"/>
      <c r="B11" s="767"/>
      <c r="C11" s="770"/>
    </row>
    <row r="12" spans="1:3" ht="137.25" customHeight="1" x14ac:dyDescent="0.2">
      <c r="A12" s="765"/>
      <c r="B12" s="768"/>
      <c r="C12" s="771"/>
    </row>
    <row r="13" spans="1:3" ht="85.5" x14ac:dyDescent="0.2">
      <c r="A13" s="233" t="s">
        <v>44</v>
      </c>
      <c r="B13" s="233" t="s">
        <v>45</v>
      </c>
      <c r="C13" s="234" t="s">
        <v>46</v>
      </c>
    </row>
    <row r="14" spans="1:3" ht="114" x14ac:dyDescent="0.2">
      <c r="A14" s="233" t="s">
        <v>47</v>
      </c>
      <c r="B14" s="233" t="s">
        <v>48</v>
      </c>
      <c r="C14" s="234" t="s">
        <v>49</v>
      </c>
    </row>
    <row r="15" spans="1:3" ht="42.75" x14ac:dyDescent="0.2">
      <c r="A15" s="233" t="s">
        <v>50</v>
      </c>
      <c r="B15" s="233" t="s">
        <v>51</v>
      </c>
      <c r="C15" s="234" t="s">
        <v>52</v>
      </c>
    </row>
    <row r="16" spans="1:3" ht="106.5" customHeight="1" x14ac:dyDescent="0.2">
      <c r="A16" s="233" t="s">
        <v>53</v>
      </c>
      <c r="B16" s="233" t="s">
        <v>54</v>
      </c>
      <c r="C16" s="234" t="s">
        <v>55</v>
      </c>
    </row>
    <row r="17" spans="1:3" ht="106.5" customHeight="1" x14ac:dyDescent="0.2">
      <c r="A17" s="233" t="s">
        <v>56</v>
      </c>
      <c r="B17" s="233" t="s">
        <v>57</v>
      </c>
      <c r="C17" s="234" t="s">
        <v>58</v>
      </c>
    </row>
    <row r="18" spans="1:3" ht="327.75" x14ac:dyDescent="0.2">
      <c r="A18" s="233" t="s">
        <v>59</v>
      </c>
      <c r="B18" s="233" t="s">
        <v>60</v>
      </c>
      <c r="C18" s="234" t="s">
        <v>61</v>
      </c>
    </row>
    <row r="19" spans="1:3" ht="42.75" x14ac:dyDescent="0.2">
      <c r="A19" s="233" t="s">
        <v>62</v>
      </c>
      <c r="B19" s="233" t="s">
        <v>63</v>
      </c>
      <c r="C19" s="234" t="s">
        <v>64</v>
      </c>
    </row>
    <row r="20" spans="1:3" ht="85.5" x14ac:dyDescent="0.2">
      <c r="A20" s="233" t="s">
        <v>65</v>
      </c>
      <c r="B20" s="233" t="s">
        <v>66</v>
      </c>
      <c r="C20" s="234" t="s">
        <v>67</v>
      </c>
    </row>
    <row r="21" spans="1:3" ht="156.75" x14ac:dyDescent="0.2">
      <c r="A21" s="233" t="s">
        <v>68</v>
      </c>
      <c r="B21" s="233" t="s">
        <v>69</v>
      </c>
      <c r="C21" s="234" t="s">
        <v>70</v>
      </c>
    </row>
    <row r="22" spans="1:3" ht="242.25" x14ac:dyDescent="0.2">
      <c r="A22" s="233" t="s">
        <v>71</v>
      </c>
      <c r="B22" s="233" t="s">
        <v>72</v>
      </c>
      <c r="C22" s="234" t="s">
        <v>73</v>
      </c>
    </row>
    <row r="23" spans="1:3" ht="71.25" x14ac:dyDescent="0.2">
      <c r="A23" s="233" t="s">
        <v>74</v>
      </c>
      <c r="B23" s="233" t="s">
        <v>75</v>
      </c>
      <c r="C23" s="234" t="s">
        <v>76</v>
      </c>
    </row>
    <row r="24" spans="1:3" ht="14.25" x14ac:dyDescent="0.2">
      <c r="A24" s="117"/>
      <c r="B24" s="117"/>
      <c r="C24" s="117"/>
    </row>
    <row r="25" spans="1:3" ht="15" customHeight="1" x14ac:dyDescent="0.2">
      <c r="A25" s="117"/>
      <c r="B25" s="117"/>
      <c r="C25" s="117"/>
    </row>
    <row r="26" spans="1:3" ht="15.75" customHeight="1" x14ac:dyDescent="0.2">
      <c r="A26" s="117"/>
      <c r="B26" s="117"/>
      <c r="C26" s="117"/>
    </row>
    <row r="27" spans="1:3" ht="15.75" customHeight="1" x14ac:dyDescent="0.2">
      <c r="A27" s="117"/>
      <c r="B27" s="117"/>
      <c r="C27" s="117"/>
    </row>
    <row r="28" spans="1:3" ht="15.75" customHeight="1" x14ac:dyDescent="0.2">
      <c r="A28" s="117"/>
      <c r="B28" s="117"/>
      <c r="C28" s="117"/>
    </row>
    <row r="29" spans="1:3" ht="15.75" customHeight="1" x14ac:dyDescent="0.2">
      <c r="A29" s="117"/>
      <c r="B29" s="117"/>
      <c r="C29" s="117"/>
    </row>
    <row r="30" spans="1:3" ht="15.75" customHeight="1" x14ac:dyDescent="0.2"/>
    <row r="31" spans="1:3" ht="15.75" customHeight="1" x14ac:dyDescent="0.2"/>
    <row r="32" spans="1:3"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sheetData>
  <sheetProtection algorithmName="SHA-512" hashValue="8zFwMEldswqraqZnX2L0yTlDgABU/lDZUKaIZoh+v8IUdqAnoE22E0Zclt5nOTpfTgdOuSjlb4XZ0A6aqM9roA==" saltValue="MKj58uaOL7we4ZawwOgRVQ==" spinCount="100000" sheet="1" objects="1" scenarios="1"/>
  <mergeCells count="4">
    <mergeCell ref="A2:C2"/>
    <mergeCell ref="A10:A12"/>
    <mergeCell ref="B10:B12"/>
    <mergeCell ref="C10:C12"/>
  </mergeCells>
  <pageMargins left="0.70866141732283472" right="0.70866141732283472" top="0.74803149606299213" bottom="0.74803149606299213" header="0" footer="0"/>
  <pageSetup scale="77" orientation="landscape" r:id="rId1"/>
  <headerFooter>
    <oddHeader>&amp;L&amp;G&amp;C
MATRIZ DE RIESGOS</oddHeader>
    <oddFooter>&amp;RCódigo:E-02-F-014
Versión: 5 
Fecha: Ver Isolución</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Z1001"/>
  <sheetViews>
    <sheetView topLeftCell="A5" zoomScaleNormal="100" zoomScaleSheetLayoutView="115" zoomScalePageLayoutView="55" workbookViewId="0">
      <selection activeCell="B7" sqref="B7:H7"/>
    </sheetView>
  </sheetViews>
  <sheetFormatPr baseColWidth="10" defaultColWidth="12.625" defaultRowHeight="15" customHeight="1" x14ac:dyDescent="0.2"/>
  <cols>
    <col min="1" max="1" width="2.5" style="211" customWidth="1"/>
    <col min="2" max="3" width="21.625" style="209" customWidth="1"/>
    <col min="4" max="4" width="14" style="209" customWidth="1"/>
    <col min="5" max="5" width="24.375" style="209" customWidth="1"/>
    <col min="6" max="6" width="31.875" style="209" customWidth="1"/>
    <col min="7" max="7" width="21.625" style="209" customWidth="1"/>
    <col min="8" max="8" width="38.5" style="209" customWidth="1"/>
    <col min="9" max="26" width="9.375" style="211" customWidth="1"/>
    <col min="27" max="16384" width="12.625" style="209"/>
  </cols>
  <sheetData>
    <row r="1" spans="2:8" ht="14.25" x14ac:dyDescent="0.2">
      <c r="B1" s="211"/>
      <c r="C1" s="211"/>
      <c r="D1" s="211"/>
      <c r="E1" s="211"/>
      <c r="F1" s="211"/>
      <c r="G1" s="211"/>
      <c r="H1" s="211"/>
    </row>
    <row r="2" spans="2:8" ht="48.75" customHeight="1" x14ac:dyDescent="0.25">
      <c r="B2" s="796" t="s">
        <v>77</v>
      </c>
      <c r="C2" s="797"/>
      <c r="D2" s="797"/>
      <c r="E2" s="797"/>
      <c r="F2" s="797"/>
      <c r="G2" s="797"/>
      <c r="H2" s="798"/>
    </row>
    <row r="3" spans="2:8" ht="14.25" x14ac:dyDescent="0.2">
      <c r="B3" s="212"/>
      <c r="C3" s="213"/>
      <c r="D3" s="213"/>
      <c r="E3" s="213"/>
      <c r="F3" s="213"/>
      <c r="G3" s="213"/>
      <c r="H3" s="214"/>
    </row>
    <row r="4" spans="2:8" ht="137.25" customHeight="1" x14ac:dyDescent="0.2">
      <c r="B4" s="799" t="s">
        <v>78</v>
      </c>
      <c r="C4" s="800"/>
      <c r="D4" s="800"/>
      <c r="E4" s="800"/>
      <c r="F4" s="800"/>
      <c r="G4" s="800"/>
      <c r="H4" s="774"/>
    </row>
    <row r="5" spans="2:8" ht="42" customHeight="1" x14ac:dyDescent="0.2">
      <c r="B5" s="801"/>
      <c r="C5" s="802"/>
      <c r="D5" s="802"/>
      <c r="E5" s="802"/>
      <c r="F5" s="802"/>
      <c r="G5" s="802"/>
      <c r="H5" s="803"/>
    </row>
    <row r="6" spans="2:8" ht="22.5" customHeight="1" x14ac:dyDescent="0.2">
      <c r="B6" s="804" t="s">
        <v>79</v>
      </c>
      <c r="C6" s="805"/>
      <c r="D6" s="805"/>
      <c r="E6" s="805"/>
      <c r="F6" s="805"/>
      <c r="G6" s="805"/>
      <c r="H6" s="806"/>
    </row>
    <row r="7" spans="2:8" ht="117.75" customHeight="1" x14ac:dyDescent="0.2">
      <c r="B7" s="807" t="s">
        <v>80</v>
      </c>
      <c r="C7" s="802"/>
      <c r="D7" s="802"/>
      <c r="E7" s="802"/>
      <c r="F7" s="802"/>
      <c r="G7" s="802"/>
      <c r="H7" s="803"/>
    </row>
    <row r="8" spans="2:8" ht="14.25" x14ac:dyDescent="0.2">
      <c r="B8" s="215"/>
      <c r="C8" s="216"/>
      <c r="D8" s="216"/>
      <c r="E8" s="216"/>
      <c r="F8" s="216"/>
      <c r="G8" s="216"/>
      <c r="H8" s="217"/>
    </row>
    <row r="9" spans="2:8" ht="16.5" customHeight="1" x14ac:dyDescent="0.2">
      <c r="B9" s="808" t="s">
        <v>81</v>
      </c>
      <c r="C9" s="800"/>
      <c r="D9" s="800"/>
      <c r="E9" s="800"/>
      <c r="F9" s="800"/>
      <c r="G9" s="800"/>
      <c r="H9" s="774"/>
    </row>
    <row r="10" spans="2:8" ht="55.5" customHeight="1" x14ac:dyDescent="0.2">
      <c r="B10" s="809"/>
      <c r="C10" s="800"/>
      <c r="D10" s="800"/>
      <c r="E10" s="800"/>
      <c r="F10" s="800"/>
      <c r="G10" s="800"/>
      <c r="H10" s="774"/>
    </row>
    <row r="11" spans="2:8" ht="14.25" x14ac:dyDescent="0.2">
      <c r="B11" s="218"/>
      <c r="C11" s="219"/>
      <c r="D11" s="220"/>
      <c r="E11" s="221"/>
      <c r="F11" s="221"/>
      <c r="G11" s="221"/>
      <c r="H11" s="222"/>
    </row>
    <row r="12" spans="2:8" ht="14.25" x14ac:dyDescent="0.2">
      <c r="B12" s="218"/>
      <c r="C12" s="792" t="s">
        <v>82</v>
      </c>
      <c r="D12" s="793"/>
      <c r="E12" s="794" t="s">
        <v>83</v>
      </c>
      <c r="F12" s="795"/>
      <c r="G12" s="219"/>
      <c r="H12" s="222"/>
    </row>
    <row r="13" spans="2:8" ht="71.25" customHeight="1" x14ac:dyDescent="0.2">
      <c r="B13" s="218"/>
      <c r="C13" s="790" t="s">
        <v>84</v>
      </c>
      <c r="D13" s="786"/>
      <c r="E13" s="789" t="s">
        <v>85</v>
      </c>
      <c r="F13" s="788"/>
      <c r="G13" s="219"/>
      <c r="H13" s="222"/>
    </row>
    <row r="14" spans="2:8" ht="35.25" customHeight="1" x14ac:dyDescent="0.2">
      <c r="B14" s="218"/>
      <c r="C14" s="785" t="s">
        <v>86</v>
      </c>
      <c r="D14" s="786"/>
      <c r="E14" s="787" t="s">
        <v>87</v>
      </c>
      <c r="F14" s="788"/>
      <c r="G14" s="219"/>
      <c r="H14" s="222"/>
    </row>
    <row r="15" spans="2:8" ht="17.25" customHeight="1" x14ac:dyDescent="0.2">
      <c r="B15" s="218"/>
      <c r="C15" s="785" t="s">
        <v>88</v>
      </c>
      <c r="D15" s="786"/>
      <c r="E15" s="787" t="s">
        <v>89</v>
      </c>
      <c r="F15" s="788"/>
      <c r="G15" s="219"/>
      <c r="H15" s="222"/>
    </row>
    <row r="16" spans="2:8" ht="19.5" customHeight="1" x14ac:dyDescent="0.2">
      <c r="B16" s="218"/>
      <c r="C16" s="785" t="s">
        <v>90</v>
      </c>
      <c r="D16" s="786"/>
      <c r="E16" s="787" t="s">
        <v>91</v>
      </c>
      <c r="F16" s="788"/>
      <c r="G16" s="219"/>
      <c r="H16" s="222"/>
    </row>
    <row r="17" spans="2:8" ht="34.5" customHeight="1" x14ac:dyDescent="0.2">
      <c r="B17" s="218"/>
      <c r="C17" s="780" t="s">
        <v>1</v>
      </c>
      <c r="D17" s="791"/>
      <c r="E17" s="777" t="s">
        <v>92</v>
      </c>
      <c r="F17" s="776"/>
      <c r="G17" s="219"/>
      <c r="H17" s="222"/>
    </row>
    <row r="18" spans="2:8" ht="55.5" customHeight="1" x14ac:dyDescent="0.2">
      <c r="B18" s="218"/>
      <c r="C18" s="782" t="s">
        <v>93</v>
      </c>
      <c r="D18" s="781"/>
      <c r="E18" s="775" t="s">
        <v>94</v>
      </c>
      <c r="F18" s="776"/>
      <c r="G18" s="219"/>
      <c r="H18" s="222"/>
    </row>
    <row r="19" spans="2:8" ht="39" customHeight="1" x14ac:dyDescent="0.2">
      <c r="B19" s="218"/>
      <c r="C19" s="782" t="s">
        <v>95</v>
      </c>
      <c r="D19" s="781"/>
      <c r="E19" s="775" t="s">
        <v>96</v>
      </c>
      <c r="F19" s="776"/>
      <c r="G19" s="219"/>
      <c r="H19" s="222"/>
    </row>
    <row r="20" spans="2:8" ht="72.75" customHeight="1" x14ac:dyDescent="0.2">
      <c r="B20" s="218"/>
      <c r="C20" s="782" t="s">
        <v>97</v>
      </c>
      <c r="D20" s="781"/>
      <c r="E20" s="775" t="s">
        <v>98</v>
      </c>
      <c r="F20" s="776"/>
      <c r="G20" s="219"/>
      <c r="H20" s="222"/>
    </row>
    <row r="21" spans="2:8" ht="64.5" customHeight="1" x14ac:dyDescent="0.2">
      <c r="B21" s="218"/>
      <c r="C21" s="782" t="s">
        <v>99</v>
      </c>
      <c r="D21" s="781"/>
      <c r="E21" s="775" t="s">
        <v>100</v>
      </c>
      <c r="F21" s="776"/>
      <c r="G21" s="219"/>
      <c r="H21" s="222"/>
    </row>
    <row r="22" spans="2:8" ht="64.5" customHeight="1" x14ac:dyDescent="0.2">
      <c r="B22" s="218"/>
      <c r="C22" s="782" t="s">
        <v>101</v>
      </c>
      <c r="D22" s="784"/>
      <c r="E22" s="775" t="s">
        <v>102</v>
      </c>
      <c r="F22" s="783"/>
      <c r="G22" s="219"/>
      <c r="H22" s="222"/>
    </row>
    <row r="23" spans="2:8" ht="71.25" customHeight="1" x14ac:dyDescent="0.2">
      <c r="B23" s="218"/>
      <c r="C23" s="782" t="s">
        <v>103</v>
      </c>
      <c r="D23" s="781"/>
      <c r="E23" s="775" t="s">
        <v>104</v>
      </c>
      <c r="F23" s="776"/>
      <c r="G23" s="219"/>
      <c r="H23" s="222"/>
    </row>
    <row r="24" spans="2:8" ht="55.5" customHeight="1" x14ac:dyDescent="0.2">
      <c r="B24" s="218"/>
      <c r="C24" s="782" t="s">
        <v>105</v>
      </c>
      <c r="D24" s="781"/>
      <c r="E24" s="775" t="s">
        <v>106</v>
      </c>
      <c r="F24" s="776"/>
      <c r="G24" s="219"/>
      <c r="H24" s="222"/>
    </row>
    <row r="25" spans="2:8" ht="42" customHeight="1" x14ac:dyDescent="0.2">
      <c r="B25" s="218"/>
      <c r="C25" s="782" t="s">
        <v>107</v>
      </c>
      <c r="D25" s="781"/>
      <c r="E25" s="775" t="s">
        <v>108</v>
      </c>
      <c r="F25" s="776"/>
      <c r="G25" s="219"/>
      <c r="H25" s="222"/>
    </row>
    <row r="26" spans="2:8" ht="59.25" customHeight="1" x14ac:dyDescent="0.2">
      <c r="B26" s="218"/>
      <c r="C26" s="782" t="s">
        <v>109</v>
      </c>
      <c r="D26" s="781"/>
      <c r="E26" s="775" t="s">
        <v>110</v>
      </c>
      <c r="F26" s="776"/>
      <c r="G26" s="219"/>
      <c r="H26" s="222"/>
    </row>
    <row r="27" spans="2:8" ht="23.25" customHeight="1" x14ac:dyDescent="0.2">
      <c r="B27" s="218"/>
      <c r="C27" s="782" t="s">
        <v>111</v>
      </c>
      <c r="D27" s="781"/>
      <c r="E27" s="775" t="s">
        <v>112</v>
      </c>
      <c r="F27" s="776"/>
      <c r="G27" s="219"/>
      <c r="H27" s="222"/>
    </row>
    <row r="28" spans="2:8" ht="30.75" customHeight="1" x14ac:dyDescent="0.2">
      <c r="B28" s="218"/>
      <c r="C28" s="782" t="s">
        <v>113</v>
      </c>
      <c r="D28" s="781"/>
      <c r="E28" s="775" t="s">
        <v>114</v>
      </c>
      <c r="F28" s="776"/>
      <c r="G28" s="219"/>
      <c r="H28" s="222"/>
    </row>
    <row r="29" spans="2:8" ht="35.25" customHeight="1" x14ac:dyDescent="0.2">
      <c r="B29" s="218"/>
      <c r="C29" s="782" t="s">
        <v>115</v>
      </c>
      <c r="D29" s="781"/>
      <c r="E29" s="775" t="s">
        <v>116</v>
      </c>
      <c r="F29" s="776"/>
      <c r="G29" s="219"/>
      <c r="H29" s="222"/>
    </row>
    <row r="30" spans="2:8" ht="33" customHeight="1" x14ac:dyDescent="0.2">
      <c r="B30" s="218"/>
      <c r="C30" s="782" t="s">
        <v>115</v>
      </c>
      <c r="D30" s="781"/>
      <c r="E30" s="775" t="s">
        <v>116</v>
      </c>
      <c r="F30" s="776"/>
      <c r="G30" s="219"/>
      <c r="H30" s="222"/>
    </row>
    <row r="31" spans="2:8" ht="30" customHeight="1" x14ac:dyDescent="0.2">
      <c r="B31" s="218"/>
      <c r="C31" s="782" t="s">
        <v>117</v>
      </c>
      <c r="D31" s="781"/>
      <c r="E31" s="775" t="s">
        <v>118</v>
      </c>
      <c r="F31" s="776"/>
      <c r="G31" s="219"/>
      <c r="H31" s="222"/>
    </row>
    <row r="32" spans="2:8" ht="35.25" customHeight="1" x14ac:dyDescent="0.2">
      <c r="B32" s="218"/>
      <c r="C32" s="782" t="s">
        <v>119</v>
      </c>
      <c r="D32" s="781"/>
      <c r="E32" s="775" t="s">
        <v>120</v>
      </c>
      <c r="F32" s="776"/>
      <c r="G32" s="219"/>
      <c r="H32" s="222"/>
    </row>
    <row r="33" spans="1:26" ht="31.5" customHeight="1" x14ac:dyDescent="0.2">
      <c r="B33" s="218"/>
      <c r="C33" s="782" t="s">
        <v>121</v>
      </c>
      <c r="D33" s="781"/>
      <c r="E33" s="775" t="s">
        <v>122</v>
      </c>
      <c r="F33" s="776"/>
      <c r="G33" s="219"/>
      <c r="H33" s="222"/>
    </row>
    <row r="34" spans="1:26" ht="35.25" customHeight="1" x14ac:dyDescent="0.2">
      <c r="B34" s="218"/>
      <c r="C34" s="782" t="s">
        <v>123</v>
      </c>
      <c r="D34" s="781"/>
      <c r="E34" s="775" t="s">
        <v>124</v>
      </c>
      <c r="F34" s="776"/>
      <c r="G34" s="219"/>
      <c r="H34" s="222"/>
    </row>
    <row r="35" spans="1:26" ht="59.25" customHeight="1" x14ac:dyDescent="0.2">
      <c r="B35" s="218"/>
      <c r="C35" s="782" t="s">
        <v>125</v>
      </c>
      <c r="D35" s="781"/>
      <c r="E35" s="775" t="s">
        <v>126</v>
      </c>
      <c r="F35" s="776"/>
      <c r="G35" s="219"/>
      <c r="H35" s="222"/>
    </row>
    <row r="36" spans="1:26" ht="55.5" customHeight="1" x14ac:dyDescent="0.2">
      <c r="B36" s="218"/>
      <c r="C36" s="782" t="s">
        <v>127</v>
      </c>
      <c r="D36" s="781"/>
      <c r="E36" s="775" t="s">
        <v>128</v>
      </c>
      <c r="F36" s="776"/>
      <c r="G36" s="219"/>
      <c r="H36" s="222"/>
    </row>
    <row r="37" spans="1:26" ht="105.75" customHeight="1" x14ac:dyDescent="0.2">
      <c r="B37" s="218"/>
      <c r="C37" s="782" t="s">
        <v>129</v>
      </c>
      <c r="D37" s="781"/>
      <c r="E37" s="775" t="s">
        <v>130</v>
      </c>
      <c r="F37" s="776"/>
      <c r="G37" s="219"/>
      <c r="H37" s="222"/>
    </row>
    <row r="38" spans="1:26" ht="82.5" customHeight="1" x14ac:dyDescent="0.2">
      <c r="B38" s="218"/>
      <c r="C38" s="782" t="s">
        <v>131</v>
      </c>
      <c r="D38" s="781"/>
      <c r="E38" s="775" t="s">
        <v>132</v>
      </c>
      <c r="F38" s="776"/>
      <c r="G38" s="219"/>
      <c r="H38" s="222"/>
    </row>
    <row r="39" spans="1:26" ht="202.5" customHeight="1" x14ac:dyDescent="0.2">
      <c r="B39" s="218"/>
      <c r="C39" s="780" t="s">
        <v>133</v>
      </c>
      <c r="D39" s="781"/>
      <c r="E39" s="777" t="s">
        <v>134</v>
      </c>
      <c r="F39" s="776"/>
      <c r="G39" s="219"/>
      <c r="H39" s="222"/>
    </row>
    <row r="40" spans="1:26" ht="15.75" customHeight="1" x14ac:dyDescent="0.2">
      <c r="B40" s="218"/>
      <c r="C40" s="223"/>
      <c r="D40" s="223"/>
      <c r="E40" s="224"/>
      <c r="F40" s="224"/>
      <c r="G40" s="219"/>
      <c r="H40" s="222"/>
    </row>
    <row r="41" spans="1:26" ht="45" customHeight="1" x14ac:dyDescent="0.2">
      <c r="B41" s="772" t="s">
        <v>135</v>
      </c>
      <c r="C41" s="773"/>
      <c r="D41" s="773"/>
      <c r="E41" s="773"/>
      <c r="F41" s="773"/>
      <c r="G41" s="773"/>
      <c r="H41" s="774"/>
    </row>
    <row r="42" spans="1:26" s="226" customFormat="1" ht="38.25" customHeight="1" x14ac:dyDescent="0.2">
      <c r="A42" s="225"/>
      <c r="B42" s="772" t="s">
        <v>136</v>
      </c>
      <c r="C42" s="778"/>
      <c r="D42" s="778"/>
      <c r="E42" s="778"/>
      <c r="F42" s="778"/>
      <c r="G42" s="778"/>
      <c r="H42" s="779"/>
      <c r="I42" s="225"/>
      <c r="J42" s="225"/>
      <c r="K42" s="225"/>
      <c r="L42" s="225"/>
      <c r="M42" s="225"/>
      <c r="N42" s="225"/>
      <c r="O42" s="225"/>
      <c r="P42" s="225"/>
      <c r="Q42" s="225"/>
      <c r="R42" s="225"/>
      <c r="S42" s="225"/>
      <c r="T42" s="225"/>
      <c r="U42" s="225"/>
      <c r="V42" s="225"/>
      <c r="W42" s="225"/>
      <c r="X42" s="225"/>
      <c r="Y42" s="225"/>
      <c r="Z42" s="225"/>
    </row>
    <row r="43" spans="1:26" ht="20.25" customHeight="1" x14ac:dyDescent="0.2">
      <c r="B43" s="772" t="s">
        <v>137</v>
      </c>
      <c r="C43" s="773"/>
      <c r="D43" s="773"/>
      <c r="E43" s="773"/>
      <c r="F43" s="773"/>
      <c r="G43" s="773"/>
      <c r="H43" s="774"/>
    </row>
    <row r="44" spans="1:26" ht="20.25" customHeight="1" x14ac:dyDescent="0.2">
      <c r="B44" s="772" t="s">
        <v>138</v>
      </c>
      <c r="C44" s="773"/>
      <c r="D44" s="773"/>
      <c r="E44" s="773"/>
      <c r="F44" s="773"/>
      <c r="G44" s="773"/>
      <c r="H44" s="774"/>
    </row>
    <row r="45" spans="1:26" ht="15.75" customHeight="1" x14ac:dyDescent="0.2">
      <c r="B45" s="772" t="s">
        <v>139</v>
      </c>
      <c r="C45" s="773"/>
      <c r="D45" s="773"/>
      <c r="E45" s="773"/>
      <c r="F45" s="773"/>
      <c r="G45" s="773"/>
      <c r="H45" s="774"/>
    </row>
    <row r="46" spans="1:26" ht="15.75" customHeight="1" x14ac:dyDescent="0.2">
      <c r="B46" s="227"/>
      <c r="C46" s="228"/>
      <c r="D46" s="228"/>
      <c r="E46" s="228"/>
      <c r="F46" s="228"/>
      <c r="G46" s="228"/>
      <c r="H46" s="229"/>
    </row>
    <row r="47" spans="1:26" ht="15.75" customHeight="1" x14ac:dyDescent="0.2">
      <c r="B47" s="211"/>
      <c r="C47" s="211"/>
      <c r="D47" s="211"/>
      <c r="E47" s="211"/>
      <c r="F47" s="211"/>
      <c r="G47" s="211"/>
      <c r="H47" s="211"/>
    </row>
    <row r="48" spans="1:26" ht="15.75" customHeight="1" x14ac:dyDescent="0.2">
      <c r="B48" s="211"/>
      <c r="C48" s="211"/>
      <c r="D48" s="211"/>
      <c r="E48" s="211"/>
      <c r="F48" s="211"/>
      <c r="G48" s="211"/>
      <c r="H48" s="211"/>
    </row>
    <row r="49" spans="2:8" ht="15.75" customHeight="1" x14ac:dyDescent="0.2">
      <c r="B49" s="211"/>
      <c r="C49" s="211"/>
      <c r="D49" s="211"/>
      <c r="E49" s="211"/>
      <c r="F49" s="211"/>
      <c r="G49" s="211"/>
      <c r="H49" s="211"/>
    </row>
    <row r="50" spans="2:8" ht="15.75" customHeight="1" x14ac:dyDescent="0.2">
      <c r="B50" s="211"/>
      <c r="C50" s="211"/>
      <c r="D50" s="211"/>
      <c r="E50" s="211"/>
      <c r="F50" s="211"/>
      <c r="G50" s="211"/>
      <c r="H50" s="211"/>
    </row>
    <row r="51" spans="2:8" ht="15.75" customHeight="1" x14ac:dyDescent="0.2">
      <c r="B51" s="211"/>
      <c r="C51" s="211"/>
      <c r="D51" s="211"/>
      <c r="E51" s="211"/>
      <c r="F51" s="211"/>
      <c r="G51" s="211"/>
      <c r="H51" s="211"/>
    </row>
    <row r="52" spans="2:8" ht="15.75" customHeight="1" x14ac:dyDescent="0.2">
      <c r="B52" s="211"/>
      <c r="C52" s="211"/>
      <c r="D52" s="211"/>
      <c r="E52" s="211"/>
      <c r="F52" s="211"/>
      <c r="G52" s="211"/>
      <c r="H52" s="211"/>
    </row>
    <row r="53" spans="2:8" ht="15.75" customHeight="1" x14ac:dyDescent="0.2">
      <c r="B53" s="211"/>
      <c r="C53" s="211"/>
      <c r="D53" s="211"/>
      <c r="E53" s="211"/>
      <c r="F53" s="211"/>
      <c r="G53" s="211"/>
      <c r="H53" s="211"/>
    </row>
    <row r="54" spans="2:8" ht="15.75" customHeight="1" x14ac:dyDescent="0.2">
      <c r="B54" s="211"/>
      <c r="C54" s="211"/>
      <c r="D54" s="211"/>
      <c r="E54" s="211"/>
      <c r="F54" s="211"/>
      <c r="G54" s="211"/>
      <c r="H54" s="211"/>
    </row>
    <row r="55" spans="2:8" ht="15.75" customHeight="1" x14ac:dyDescent="0.2">
      <c r="B55" s="211"/>
      <c r="C55" s="211"/>
      <c r="D55" s="211"/>
      <c r="E55" s="211"/>
      <c r="F55" s="211"/>
      <c r="G55" s="211"/>
      <c r="H55" s="211"/>
    </row>
    <row r="56" spans="2:8" ht="15.75" customHeight="1" x14ac:dyDescent="0.2">
      <c r="B56" s="211"/>
      <c r="C56" s="211"/>
      <c r="D56" s="211"/>
      <c r="E56" s="211"/>
      <c r="F56" s="211"/>
      <c r="G56" s="211"/>
      <c r="H56" s="211"/>
    </row>
    <row r="57" spans="2:8" ht="15.75" customHeight="1" x14ac:dyDescent="0.2">
      <c r="B57" s="211"/>
      <c r="C57" s="211"/>
      <c r="D57" s="211"/>
      <c r="E57" s="211"/>
      <c r="F57" s="211"/>
      <c r="G57" s="211"/>
      <c r="H57" s="211"/>
    </row>
    <row r="58" spans="2:8" ht="15.75" customHeight="1" x14ac:dyDescent="0.2">
      <c r="B58" s="211"/>
      <c r="C58" s="211"/>
      <c r="D58" s="211"/>
      <c r="E58" s="211"/>
      <c r="F58" s="211"/>
      <c r="G58" s="211"/>
      <c r="H58" s="211"/>
    </row>
    <row r="59" spans="2:8" ht="15.75" customHeight="1" x14ac:dyDescent="0.2">
      <c r="B59" s="211"/>
      <c r="C59" s="211"/>
      <c r="D59" s="211"/>
      <c r="E59" s="211"/>
      <c r="F59" s="211"/>
      <c r="G59" s="211"/>
      <c r="H59" s="211"/>
    </row>
    <row r="60" spans="2:8" ht="15.75" customHeight="1" x14ac:dyDescent="0.2">
      <c r="B60" s="211"/>
      <c r="C60" s="211"/>
      <c r="D60" s="211"/>
      <c r="E60" s="211"/>
      <c r="F60" s="211"/>
      <c r="G60" s="211"/>
      <c r="H60" s="211"/>
    </row>
    <row r="61" spans="2:8" ht="15.75" customHeight="1" x14ac:dyDescent="0.2">
      <c r="B61" s="211"/>
      <c r="C61" s="211"/>
      <c r="D61" s="211"/>
      <c r="E61" s="211"/>
      <c r="F61" s="211"/>
      <c r="G61" s="211"/>
      <c r="H61" s="211"/>
    </row>
    <row r="62" spans="2:8" ht="15.75" customHeight="1" x14ac:dyDescent="0.2">
      <c r="B62" s="211"/>
      <c r="C62" s="211"/>
      <c r="D62" s="211"/>
      <c r="E62" s="211"/>
      <c r="F62" s="211"/>
      <c r="G62" s="211"/>
      <c r="H62" s="211"/>
    </row>
    <row r="63" spans="2:8" ht="15.75" customHeight="1" x14ac:dyDescent="0.2">
      <c r="B63" s="211"/>
      <c r="C63" s="211"/>
      <c r="D63" s="211"/>
      <c r="E63" s="211"/>
      <c r="F63" s="211"/>
      <c r="G63" s="211"/>
      <c r="H63" s="211"/>
    </row>
    <row r="64" spans="2:8" ht="15.75" customHeight="1" x14ac:dyDescent="0.2">
      <c r="B64" s="211"/>
      <c r="C64" s="211"/>
      <c r="D64" s="211"/>
      <c r="E64" s="211"/>
      <c r="F64" s="211"/>
      <c r="G64" s="211"/>
      <c r="H64" s="211"/>
    </row>
    <row r="65" spans="2:8" ht="15.75" customHeight="1" x14ac:dyDescent="0.2">
      <c r="B65" s="211"/>
      <c r="C65" s="211"/>
      <c r="D65" s="211"/>
      <c r="E65" s="211"/>
      <c r="F65" s="211"/>
      <c r="G65" s="211"/>
      <c r="H65" s="211"/>
    </row>
    <row r="66" spans="2:8" ht="15.75" customHeight="1" x14ac:dyDescent="0.2">
      <c r="B66" s="211"/>
      <c r="C66" s="211"/>
      <c r="D66" s="211"/>
      <c r="E66" s="211"/>
      <c r="F66" s="211"/>
      <c r="G66" s="211"/>
      <c r="H66" s="211"/>
    </row>
    <row r="67" spans="2:8" ht="15.75" customHeight="1" x14ac:dyDescent="0.2">
      <c r="B67" s="211"/>
      <c r="C67" s="211"/>
      <c r="D67" s="211"/>
      <c r="E67" s="211"/>
      <c r="F67" s="211"/>
      <c r="G67" s="211"/>
      <c r="H67" s="211"/>
    </row>
    <row r="68" spans="2:8" ht="15.75" customHeight="1" x14ac:dyDescent="0.2">
      <c r="B68" s="211"/>
      <c r="C68" s="211"/>
      <c r="D68" s="211"/>
      <c r="E68" s="211"/>
      <c r="F68" s="211"/>
      <c r="G68" s="211"/>
      <c r="H68" s="211"/>
    </row>
    <row r="69" spans="2:8" ht="15.75" customHeight="1" x14ac:dyDescent="0.2">
      <c r="B69" s="211"/>
      <c r="C69" s="211"/>
      <c r="D69" s="211"/>
      <c r="E69" s="211"/>
      <c r="F69" s="211"/>
      <c r="G69" s="211"/>
      <c r="H69" s="211"/>
    </row>
    <row r="70" spans="2:8" ht="15.75" customHeight="1" x14ac:dyDescent="0.2">
      <c r="B70" s="211"/>
      <c r="C70" s="211"/>
      <c r="D70" s="211"/>
      <c r="E70" s="211"/>
      <c r="F70" s="211"/>
      <c r="G70" s="211"/>
      <c r="H70" s="211"/>
    </row>
    <row r="71" spans="2:8" ht="15.75" customHeight="1" x14ac:dyDescent="0.2">
      <c r="B71" s="211"/>
      <c r="C71" s="211"/>
      <c r="D71" s="211"/>
      <c r="E71" s="211"/>
      <c r="F71" s="211"/>
      <c r="G71" s="211"/>
      <c r="H71" s="211"/>
    </row>
    <row r="72" spans="2:8" ht="15.75" customHeight="1" x14ac:dyDescent="0.2">
      <c r="B72" s="211"/>
      <c r="C72" s="211"/>
      <c r="D72" s="211"/>
      <c r="E72" s="211"/>
      <c r="F72" s="211"/>
      <c r="G72" s="211"/>
      <c r="H72" s="211"/>
    </row>
    <row r="73" spans="2:8" ht="15.75" customHeight="1" x14ac:dyDescent="0.2">
      <c r="B73" s="211"/>
      <c r="C73" s="211"/>
      <c r="D73" s="211"/>
      <c r="E73" s="211"/>
      <c r="F73" s="211"/>
      <c r="G73" s="211"/>
      <c r="H73" s="211"/>
    </row>
    <row r="74" spans="2:8" ht="15.75" customHeight="1" x14ac:dyDescent="0.2">
      <c r="B74" s="211"/>
      <c r="C74" s="211"/>
      <c r="D74" s="211"/>
      <c r="E74" s="211"/>
      <c r="F74" s="211"/>
      <c r="G74" s="211"/>
      <c r="H74" s="211"/>
    </row>
    <row r="75" spans="2:8" ht="15.75" customHeight="1" x14ac:dyDescent="0.2">
      <c r="B75" s="211"/>
      <c r="C75" s="211"/>
      <c r="D75" s="211"/>
      <c r="E75" s="211"/>
      <c r="F75" s="211"/>
      <c r="G75" s="211"/>
      <c r="H75" s="211"/>
    </row>
    <row r="76" spans="2:8" ht="15.75" customHeight="1" x14ac:dyDescent="0.2">
      <c r="B76" s="211"/>
      <c r="C76" s="211"/>
      <c r="D76" s="211"/>
      <c r="E76" s="211"/>
      <c r="F76" s="211"/>
      <c r="G76" s="211"/>
      <c r="H76" s="211"/>
    </row>
    <row r="77" spans="2:8" ht="15.75" customHeight="1" x14ac:dyDescent="0.2">
      <c r="B77" s="211"/>
      <c r="C77" s="211"/>
      <c r="D77" s="211"/>
      <c r="E77" s="211"/>
      <c r="F77" s="211"/>
      <c r="G77" s="211"/>
      <c r="H77" s="211"/>
    </row>
    <row r="78" spans="2:8" ht="15.75" customHeight="1" x14ac:dyDescent="0.2">
      <c r="B78" s="211"/>
      <c r="C78" s="211"/>
      <c r="D78" s="211"/>
      <c r="E78" s="211"/>
      <c r="F78" s="211"/>
      <c r="G78" s="211"/>
      <c r="H78" s="211"/>
    </row>
    <row r="79" spans="2:8" ht="15.75" customHeight="1" x14ac:dyDescent="0.2">
      <c r="B79" s="211"/>
      <c r="C79" s="211"/>
      <c r="D79" s="211"/>
      <c r="E79" s="211"/>
      <c r="F79" s="211"/>
      <c r="G79" s="211"/>
      <c r="H79" s="211"/>
    </row>
    <row r="80" spans="2:8" ht="15.75" customHeight="1" x14ac:dyDescent="0.2">
      <c r="B80" s="211"/>
      <c r="C80" s="211"/>
      <c r="D80" s="211"/>
      <c r="E80" s="211"/>
      <c r="F80" s="211"/>
      <c r="G80" s="211"/>
      <c r="H80" s="211"/>
    </row>
    <row r="81" spans="2:8" ht="15.75" customHeight="1" x14ac:dyDescent="0.2">
      <c r="B81" s="211"/>
      <c r="C81" s="211"/>
      <c r="D81" s="211"/>
      <c r="E81" s="211"/>
      <c r="F81" s="211"/>
      <c r="G81" s="211"/>
      <c r="H81" s="211"/>
    </row>
    <row r="82" spans="2:8" ht="15.75" customHeight="1" x14ac:dyDescent="0.2">
      <c r="B82" s="211"/>
      <c r="C82" s="211"/>
      <c r="D82" s="211"/>
      <c r="E82" s="211"/>
      <c r="F82" s="211"/>
      <c r="G82" s="211"/>
      <c r="H82" s="211"/>
    </row>
    <row r="83" spans="2:8" ht="15.75" customHeight="1" x14ac:dyDescent="0.2">
      <c r="B83" s="211"/>
      <c r="C83" s="211"/>
      <c r="D83" s="211"/>
      <c r="E83" s="211"/>
      <c r="F83" s="211"/>
      <c r="G83" s="211"/>
      <c r="H83" s="211"/>
    </row>
    <row r="84" spans="2:8" ht="15.75" customHeight="1" x14ac:dyDescent="0.2">
      <c r="B84" s="211"/>
      <c r="C84" s="211"/>
      <c r="D84" s="211"/>
      <c r="E84" s="211"/>
      <c r="F84" s="211"/>
      <c r="G84" s="211"/>
      <c r="H84" s="211"/>
    </row>
    <row r="85" spans="2:8" ht="15.75" customHeight="1" x14ac:dyDescent="0.2">
      <c r="B85" s="211"/>
      <c r="C85" s="211"/>
      <c r="D85" s="211"/>
      <c r="E85" s="211"/>
      <c r="F85" s="211"/>
      <c r="G85" s="211"/>
      <c r="H85" s="211"/>
    </row>
    <row r="86" spans="2:8" ht="15.75" customHeight="1" x14ac:dyDescent="0.2">
      <c r="B86" s="211"/>
      <c r="C86" s="211"/>
      <c r="D86" s="211"/>
      <c r="E86" s="211"/>
      <c r="F86" s="211"/>
      <c r="G86" s="211"/>
      <c r="H86" s="211"/>
    </row>
    <row r="87" spans="2:8" ht="15.75" customHeight="1" x14ac:dyDescent="0.2">
      <c r="B87" s="211"/>
      <c r="C87" s="211"/>
      <c r="D87" s="211"/>
      <c r="E87" s="211"/>
      <c r="F87" s="211"/>
      <c r="G87" s="211"/>
      <c r="H87" s="211"/>
    </row>
    <row r="88" spans="2:8" ht="15.75" customHeight="1" x14ac:dyDescent="0.2">
      <c r="B88" s="211"/>
      <c r="C88" s="211"/>
      <c r="D88" s="211"/>
      <c r="E88" s="211"/>
      <c r="F88" s="211"/>
      <c r="G88" s="211"/>
      <c r="H88" s="211"/>
    </row>
    <row r="89" spans="2:8" ht="15.75" customHeight="1" x14ac:dyDescent="0.2">
      <c r="B89" s="211"/>
      <c r="C89" s="211"/>
      <c r="D89" s="211"/>
      <c r="E89" s="211"/>
      <c r="F89" s="211"/>
      <c r="G89" s="211"/>
      <c r="H89" s="211"/>
    </row>
    <row r="90" spans="2:8" ht="15.75" customHeight="1" x14ac:dyDescent="0.2">
      <c r="B90" s="211"/>
      <c r="C90" s="211"/>
      <c r="D90" s="211"/>
      <c r="E90" s="211"/>
      <c r="F90" s="211"/>
      <c r="G90" s="211"/>
      <c r="H90" s="211"/>
    </row>
    <row r="91" spans="2:8" ht="15.75" customHeight="1" x14ac:dyDescent="0.2">
      <c r="B91" s="211"/>
      <c r="C91" s="211"/>
      <c r="D91" s="211"/>
      <c r="E91" s="211"/>
      <c r="F91" s="211"/>
      <c r="G91" s="211"/>
      <c r="H91" s="211"/>
    </row>
    <row r="92" spans="2:8" ht="15.75" customHeight="1" x14ac:dyDescent="0.2">
      <c r="B92" s="211"/>
      <c r="C92" s="211"/>
      <c r="D92" s="211"/>
      <c r="E92" s="211"/>
      <c r="F92" s="211"/>
      <c r="G92" s="211"/>
      <c r="H92" s="211"/>
    </row>
    <row r="93" spans="2:8" ht="15.75" customHeight="1" x14ac:dyDescent="0.2">
      <c r="B93" s="211"/>
      <c r="C93" s="211"/>
      <c r="D93" s="211"/>
      <c r="E93" s="211"/>
      <c r="F93" s="211"/>
      <c r="G93" s="211"/>
      <c r="H93" s="211"/>
    </row>
    <row r="94" spans="2:8" ht="15.75" customHeight="1" x14ac:dyDescent="0.2">
      <c r="B94" s="211"/>
      <c r="C94" s="211"/>
      <c r="D94" s="211"/>
      <c r="E94" s="211"/>
      <c r="F94" s="211"/>
      <c r="G94" s="211"/>
      <c r="H94" s="211"/>
    </row>
    <row r="95" spans="2:8" ht="15.75" customHeight="1" x14ac:dyDescent="0.2">
      <c r="B95" s="211"/>
      <c r="C95" s="211"/>
      <c r="D95" s="211"/>
      <c r="E95" s="211"/>
      <c r="F95" s="211"/>
      <c r="G95" s="211"/>
      <c r="H95" s="211"/>
    </row>
    <row r="96" spans="2:8" ht="15.75" customHeight="1" x14ac:dyDescent="0.2">
      <c r="B96" s="211"/>
      <c r="C96" s="211"/>
      <c r="D96" s="211"/>
      <c r="E96" s="211"/>
      <c r="F96" s="211"/>
      <c r="G96" s="211"/>
      <c r="H96" s="211"/>
    </row>
    <row r="97" spans="2:8" ht="15.75" customHeight="1" x14ac:dyDescent="0.2">
      <c r="B97" s="211"/>
      <c r="C97" s="211"/>
      <c r="D97" s="211"/>
      <c r="E97" s="211"/>
      <c r="F97" s="211"/>
      <c r="G97" s="211"/>
      <c r="H97" s="211"/>
    </row>
    <row r="98" spans="2:8" ht="15.75" customHeight="1" x14ac:dyDescent="0.2">
      <c r="B98" s="211"/>
      <c r="C98" s="211"/>
      <c r="D98" s="211"/>
      <c r="E98" s="211"/>
      <c r="F98" s="211"/>
      <c r="G98" s="211"/>
      <c r="H98" s="211"/>
    </row>
    <row r="99" spans="2:8" ht="15.75" customHeight="1" x14ac:dyDescent="0.2">
      <c r="B99" s="211"/>
      <c r="C99" s="211"/>
      <c r="D99" s="211"/>
      <c r="E99" s="211"/>
      <c r="F99" s="211"/>
      <c r="G99" s="211"/>
      <c r="H99" s="211"/>
    </row>
    <row r="100" spans="2:8" ht="15.75" customHeight="1" x14ac:dyDescent="0.2">
      <c r="B100" s="211"/>
      <c r="C100" s="211"/>
      <c r="D100" s="211"/>
      <c r="E100" s="211"/>
      <c r="F100" s="211"/>
      <c r="G100" s="211"/>
      <c r="H100" s="211"/>
    </row>
    <row r="101" spans="2:8" ht="15.75" customHeight="1" x14ac:dyDescent="0.2">
      <c r="B101" s="211"/>
      <c r="C101" s="211"/>
      <c r="D101" s="211"/>
      <c r="E101" s="211"/>
      <c r="F101" s="211"/>
      <c r="G101" s="211"/>
      <c r="H101" s="211"/>
    </row>
    <row r="102" spans="2:8" ht="15.75" customHeight="1" x14ac:dyDescent="0.2">
      <c r="B102" s="211"/>
      <c r="C102" s="211"/>
      <c r="D102" s="211"/>
      <c r="E102" s="211"/>
      <c r="F102" s="211"/>
      <c r="G102" s="211"/>
      <c r="H102" s="211"/>
    </row>
    <row r="103" spans="2:8" ht="15.75" customHeight="1" x14ac:dyDescent="0.2">
      <c r="B103" s="211"/>
      <c r="C103" s="211"/>
      <c r="D103" s="211"/>
      <c r="E103" s="211"/>
      <c r="F103" s="211"/>
      <c r="G103" s="211"/>
      <c r="H103" s="211"/>
    </row>
    <row r="104" spans="2:8" ht="15.75" customHeight="1" x14ac:dyDescent="0.2">
      <c r="B104" s="211"/>
      <c r="C104" s="211"/>
      <c r="D104" s="211"/>
      <c r="E104" s="211"/>
      <c r="F104" s="211"/>
      <c r="G104" s="211"/>
      <c r="H104" s="211"/>
    </row>
    <row r="105" spans="2:8" ht="15.75" customHeight="1" x14ac:dyDescent="0.2">
      <c r="B105" s="211"/>
      <c r="C105" s="211"/>
      <c r="D105" s="211"/>
      <c r="E105" s="211"/>
      <c r="F105" s="211"/>
      <c r="G105" s="211"/>
      <c r="H105" s="211"/>
    </row>
    <row r="106" spans="2:8" ht="15.75" customHeight="1" x14ac:dyDescent="0.2">
      <c r="B106" s="211"/>
      <c r="C106" s="211"/>
      <c r="D106" s="211"/>
      <c r="E106" s="211"/>
      <c r="F106" s="211"/>
      <c r="G106" s="211"/>
      <c r="H106" s="211"/>
    </row>
    <row r="107" spans="2:8" ht="15.75" customHeight="1" x14ac:dyDescent="0.2">
      <c r="B107" s="211"/>
      <c r="C107" s="211"/>
      <c r="D107" s="211"/>
      <c r="E107" s="211"/>
      <c r="F107" s="211"/>
      <c r="G107" s="211"/>
      <c r="H107" s="211"/>
    </row>
    <row r="108" spans="2:8" ht="15.75" customHeight="1" x14ac:dyDescent="0.2">
      <c r="B108" s="211"/>
      <c r="C108" s="211"/>
      <c r="D108" s="211"/>
      <c r="E108" s="211"/>
      <c r="F108" s="211"/>
      <c r="G108" s="211"/>
      <c r="H108" s="211"/>
    </row>
    <row r="109" spans="2:8" ht="15.75" customHeight="1" x14ac:dyDescent="0.2">
      <c r="B109" s="211"/>
      <c r="C109" s="211"/>
      <c r="D109" s="211"/>
      <c r="E109" s="211"/>
      <c r="F109" s="211"/>
      <c r="G109" s="211"/>
      <c r="H109" s="211"/>
    </row>
    <row r="110" spans="2:8" ht="15.75" customHeight="1" x14ac:dyDescent="0.2">
      <c r="B110" s="211"/>
      <c r="C110" s="211"/>
      <c r="D110" s="211"/>
      <c r="E110" s="211"/>
      <c r="F110" s="211"/>
      <c r="G110" s="211"/>
      <c r="H110" s="211"/>
    </row>
    <row r="111" spans="2:8" ht="15.75" customHeight="1" x14ac:dyDescent="0.2">
      <c r="B111" s="211"/>
      <c r="C111" s="211"/>
      <c r="D111" s="211"/>
      <c r="E111" s="211"/>
      <c r="F111" s="211"/>
      <c r="G111" s="211"/>
      <c r="H111" s="211"/>
    </row>
    <row r="112" spans="2:8" ht="15.75" customHeight="1" x14ac:dyDescent="0.2">
      <c r="B112" s="211"/>
      <c r="C112" s="211"/>
      <c r="D112" s="211"/>
      <c r="E112" s="211"/>
      <c r="F112" s="211"/>
      <c r="G112" s="211"/>
      <c r="H112" s="211"/>
    </row>
    <row r="113" spans="2:8" ht="15.75" customHeight="1" x14ac:dyDescent="0.2">
      <c r="B113" s="211"/>
      <c r="C113" s="211"/>
      <c r="D113" s="211"/>
      <c r="E113" s="211"/>
      <c r="F113" s="211"/>
      <c r="G113" s="211"/>
      <c r="H113" s="211"/>
    </row>
    <row r="114" spans="2:8" ht="15.75" customHeight="1" x14ac:dyDescent="0.2">
      <c r="B114" s="211"/>
      <c r="C114" s="211"/>
      <c r="D114" s="211"/>
      <c r="E114" s="211"/>
      <c r="F114" s="211"/>
      <c r="G114" s="211"/>
      <c r="H114" s="211"/>
    </row>
    <row r="115" spans="2:8" ht="15.75" customHeight="1" x14ac:dyDescent="0.2">
      <c r="B115" s="211"/>
      <c r="C115" s="211"/>
      <c r="D115" s="211"/>
      <c r="E115" s="211"/>
      <c r="F115" s="211"/>
      <c r="G115" s="211"/>
      <c r="H115" s="211"/>
    </row>
    <row r="116" spans="2:8" ht="15.75" customHeight="1" x14ac:dyDescent="0.2">
      <c r="B116" s="211"/>
      <c r="C116" s="211"/>
      <c r="D116" s="211"/>
      <c r="E116" s="211"/>
      <c r="F116" s="211"/>
      <c r="G116" s="211"/>
      <c r="H116" s="211"/>
    </row>
    <row r="117" spans="2:8" ht="15.75" customHeight="1" x14ac:dyDescent="0.2">
      <c r="B117" s="211"/>
      <c r="C117" s="211"/>
      <c r="D117" s="211"/>
      <c r="E117" s="211"/>
      <c r="F117" s="211"/>
      <c r="G117" s="211"/>
      <c r="H117" s="211"/>
    </row>
    <row r="118" spans="2:8" ht="15.75" customHeight="1" x14ac:dyDescent="0.2">
      <c r="B118" s="211"/>
      <c r="C118" s="211"/>
      <c r="D118" s="211"/>
      <c r="E118" s="211"/>
      <c r="F118" s="211"/>
      <c r="G118" s="211"/>
      <c r="H118" s="211"/>
    </row>
    <row r="119" spans="2:8" ht="15.75" customHeight="1" x14ac:dyDescent="0.2">
      <c r="B119" s="211"/>
      <c r="C119" s="211"/>
      <c r="D119" s="211"/>
      <c r="E119" s="211"/>
      <c r="F119" s="211"/>
      <c r="G119" s="211"/>
      <c r="H119" s="211"/>
    </row>
    <row r="120" spans="2:8" ht="15.75" customHeight="1" x14ac:dyDescent="0.2">
      <c r="B120" s="211"/>
      <c r="C120" s="211"/>
      <c r="D120" s="211"/>
      <c r="E120" s="211"/>
      <c r="F120" s="211"/>
      <c r="G120" s="211"/>
      <c r="H120" s="211"/>
    </row>
    <row r="121" spans="2:8" ht="15.75" customHeight="1" x14ac:dyDescent="0.2">
      <c r="B121" s="211"/>
      <c r="C121" s="211"/>
      <c r="D121" s="211"/>
      <c r="E121" s="211"/>
      <c r="F121" s="211"/>
      <c r="G121" s="211"/>
      <c r="H121" s="211"/>
    </row>
    <row r="122" spans="2:8" ht="15.75" customHeight="1" x14ac:dyDescent="0.2">
      <c r="B122" s="211"/>
      <c r="C122" s="211"/>
      <c r="D122" s="211"/>
      <c r="E122" s="211"/>
      <c r="F122" s="211"/>
      <c r="G122" s="211"/>
      <c r="H122" s="211"/>
    </row>
    <row r="123" spans="2:8" ht="15.75" customHeight="1" x14ac:dyDescent="0.2">
      <c r="B123" s="211"/>
      <c r="C123" s="211"/>
      <c r="D123" s="211"/>
      <c r="E123" s="211"/>
      <c r="F123" s="211"/>
      <c r="G123" s="211"/>
      <c r="H123" s="211"/>
    </row>
    <row r="124" spans="2:8" ht="15.75" customHeight="1" x14ac:dyDescent="0.2">
      <c r="B124" s="211"/>
      <c r="C124" s="211"/>
      <c r="D124" s="211"/>
      <c r="E124" s="211"/>
      <c r="F124" s="211"/>
      <c r="G124" s="211"/>
      <c r="H124" s="211"/>
    </row>
    <row r="125" spans="2:8" ht="15.75" customHeight="1" x14ac:dyDescent="0.2">
      <c r="B125" s="211"/>
      <c r="C125" s="211"/>
      <c r="D125" s="211"/>
      <c r="E125" s="211"/>
      <c r="F125" s="211"/>
      <c r="G125" s="211"/>
      <c r="H125" s="211"/>
    </row>
    <row r="126" spans="2:8" ht="15.75" customHeight="1" x14ac:dyDescent="0.2">
      <c r="B126" s="211"/>
      <c r="C126" s="211"/>
      <c r="D126" s="211"/>
      <c r="E126" s="211"/>
      <c r="F126" s="211"/>
      <c r="G126" s="211"/>
      <c r="H126" s="211"/>
    </row>
    <row r="127" spans="2:8" ht="15.75" customHeight="1" x14ac:dyDescent="0.2">
      <c r="B127" s="211"/>
      <c r="C127" s="211"/>
      <c r="D127" s="211"/>
      <c r="E127" s="211"/>
      <c r="F127" s="211"/>
      <c r="G127" s="211"/>
      <c r="H127" s="211"/>
    </row>
    <row r="128" spans="2:8" ht="15.75" customHeight="1" x14ac:dyDescent="0.2">
      <c r="B128" s="211"/>
      <c r="C128" s="211"/>
      <c r="D128" s="211"/>
      <c r="E128" s="211"/>
      <c r="F128" s="211"/>
      <c r="G128" s="211"/>
      <c r="H128" s="211"/>
    </row>
    <row r="129" spans="2:8" ht="15.75" customHeight="1" x14ac:dyDescent="0.2">
      <c r="B129" s="211"/>
      <c r="C129" s="211"/>
      <c r="D129" s="211"/>
      <c r="E129" s="211"/>
      <c r="F129" s="211"/>
      <c r="G129" s="211"/>
      <c r="H129" s="211"/>
    </row>
    <row r="130" spans="2:8" ht="15.75" customHeight="1" x14ac:dyDescent="0.2">
      <c r="B130" s="211"/>
      <c r="C130" s="211"/>
      <c r="D130" s="211"/>
      <c r="E130" s="211"/>
      <c r="F130" s="211"/>
      <c r="G130" s="211"/>
      <c r="H130" s="211"/>
    </row>
    <row r="131" spans="2:8" ht="15.75" customHeight="1" x14ac:dyDescent="0.2">
      <c r="B131" s="211"/>
      <c r="C131" s="211"/>
      <c r="D131" s="211"/>
      <c r="E131" s="211"/>
      <c r="F131" s="211"/>
      <c r="G131" s="211"/>
      <c r="H131" s="211"/>
    </row>
    <row r="132" spans="2:8" ht="15.75" customHeight="1" x14ac:dyDescent="0.2">
      <c r="B132" s="211"/>
      <c r="C132" s="211"/>
      <c r="D132" s="211"/>
      <c r="E132" s="211"/>
      <c r="F132" s="211"/>
      <c r="G132" s="211"/>
      <c r="H132" s="211"/>
    </row>
    <row r="133" spans="2:8" ht="15.75" customHeight="1" x14ac:dyDescent="0.2">
      <c r="B133" s="211"/>
      <c r="C133" s="211"/>
      <c r="D133" s="211"/>
      <c r="E133" s="211"/>
      <c r="F133" s="211"/>
      <c r="G133" s="211"/>
      <c r="H133" s="211"/>
    </row>
    <row r="134" spans="2:8" ht="15.75" customHeight="1" x14ac:dyDescent="0.2">
      <c r="B134" s="211"/>
      <c r="C134" s="211"/>
      <c r="D134" s="211"/>
      <c r="E134" s="211"/>
      <c r="F134" s="211"/>
      <c r="G134" s="211"/>
      <c r="H134" s="211"/>
    </row>
    <row r="135" spans="2:8" ht="15.75" customHeight="1" x14ac:dyDescent="0.2">
      <c r="B135" s="211"/>
      <c r="C135" s="211"/>
      <c r="D135" s="211"/>
      <c r="E135" s="211"/>
      <c r="F135" s="211"/>
      <c r="G135" s="211"/>
      <c r="H135" s="211"/>
    </row>
    <row r="136" spans="2:8" ht="15.75" customHeight="1" x14ac:dyDescent="0.2">
      <c r="B136" s="211"/>
      <c r="C136" s="211"/>
      <c r="D136" s="211"/>
      <c r="E136" s="211"/>
      <c r="F136" s="211"/>
      <c r="G136" s="211"/>
      <c r="H136" s="211"/>
    </row>
    <row r="137" spans="2:8" ht="15.75" customHeight="1" x14ac:dyDescent="0.2">
      <c r="B137" s="211"/>
      <c r="C137" s="211"/>
      <c r="D137" s="211"/>
      <c r="E137" s="211"/>
      <c r="F137" s="211"/>
      <c r="G137" s="211"/>
      <c r="H137" s="211"/>
    </row>
    <row r="138" spans="2:8" ht="15.75" customHeight="1" x14ac:dyDescent="0.2">
      <c r="B138" s="211"/>
      <c r="C138" s="211"/>
      <c r="D138" s="211"/>
      <c r="E138" s="211"/>
      <c r="F138" s="211"/>
      <c r="G138" s="211"/>
      <c r="H138" s="211"/>
    </row>
    <row r="139" spans="2:8" ht="15.75" customHeight="1" x14ac:dyDescent="0.2">
      <c r="B139" s="211"/>
      <c r="C139" s="211"/>
      <c r="D139" s="211"/>
      <c r="E139" s="211"/>
      <c r="F139" s="211"/>
      <c r="G139" s="211"/>
      <c r="H139" s="211"/>
    </row>
    <row r="140" spans="2:8" ht="15.75" customHeight="1" x14ac:dyDescent="0.2">
      <c r="B140" s="211"/>
      <c r="C140" s="211"/>
      <c r="D140" s="211"/>
      <c r="E140" s="211"/>
      <c r="F140" s="211"/>
      <c r="G140" s="211"/>
      <c r="H140" s="211"/>
    </row>
    <row r="141" spans="2:8" ht="15.75" customHeight="1" x14ac:dyDescent="0.2">
      <c r="B141" s="211"/>
      <c r="C141" s="211"/>
      <c r="D141" s="211"/>
      <c r="E141" s="211"/>
      <c r="F141" s="211"/>
      <c r="G141" s="211"/>
      <c r="H141" s="211"/>
    </row>
    <row r="142" spans="2:8" ht="15.75" customHeight="1" x14ac:dyDescent="0.2">
      <c r="B142" s="211"/>
      <c r="C142" s="211"/>
      <c r="D142" s="211"/>
      <c r="E142" s="211"/>
      <c r="F142" s="211"/>
      <c r="G142" s="211"/>
      <c r="H142" s="211"/>
    </row>
    <row r="143" spans="2:8" ht="15.75" customHeight="1" x14ac:dyDescent="0.2">
      <c r="B143" s="211"/>
      <c r="C143" s="211"/>
      <c r="D143" s="211"/>
      <c r="E143" s="211"/>
      <c r="F143" s="211"/>
      <c r="G143" s="211"/>
      <c r="H143" s="211"/>
    </row>
    <row r="144" spans="2:8" ht="15.75" customHeight="1" x14ac:dyDescent="0.2">
      <c r="B144" s="211"/>
      <c r="C144" s="211"/>
      <c r="D144" s="211"/>
      <c r="E144" s="211"/>
      <c r="F144" s="211"/>
      <c r="G144" s="211"/>
      <c r="H144" s="211"/>
    </row>
    <row r="145" spans="2:8" ht="15.75" customHeight="1" x14ac:dyDescent="0.2">
      <c r="B145" s="211"/>
      <c r="C145" s="211"/>
      <c r="D145" s="211"/>
      <c r="E145" s="211"/>
      <c r="F145" s="211"/>
      <c r="G145" s="211"/>
      <c r="H145" s="211"/>
    </row>
    <row r="146" spans="2:8" ht="15.75" customHeight="1" x14ac:dyDescent="0.2">
      <c r="B146" s="211"/>
      <c r="C146" s="211"/>
      <c r="D146" s="211"/>
      <c r="E146" s="211"/>
      <c r="F146" s="211"/>
      <c r="G146" s="211"/>
      <c r="H146" s="211"/>
    </row>
    <row r="147" spans="2:8" ht="15.75" customHeight="1" x14ac:dyDescent="0.2">
      <c r="B147" s="211"/>
      <c r="C147" s="211"/>
      <c r="D147" s="211"/>
      <c r="E147" s="211"/>
      <c r="F147" s="211"/>
      <c r="G147" s="211"/>
      <c r="H147" s="211"/>
    </row>
    <row r="148" spans="2:8" ht="15.75" customHeight="1" x14ac:dyDescent="0.2">
      <c r="B148" s="211"/>
      <c r="C148" s="211"/>
      <c r="D148" s="211"/>
      <c r="E148" s="211"/>
      <c r="F148" s="211"/>
      <c r="G148" s="211"/>
      <c r="H148" s="211"/>
    </row>
    <row r="149" spans="2:8" ht="15.75" customHeight="1" x14ac:dyDescent="0.2">
      <c r="B149" s="211"/>
      <c r="C149" s="211"/>
      <c r="D149" s="211"/>
      <c r="E149" s="211"/>
      <c r="F149" s="211"/>
      <c r="G149" s="211"/>
      <c r="H149" s="211"/>
    </row>
    <row r="150" spans="2:8" ht="15.75" customHeight="1" x14ac:dyDescent="0.2">
      <c r="B150" s="211"/>
      <c r="C150" s="211"/>
      <c r="D150" s="211"/>
      <c r="E150" s="211"/>
      <c r="F150" s="211"/>
      <c r="G150" s="211"/>
      <c r="H150" s="211"/>
    </row>
    <row r="151" spans="2:8" ht="15.75" customHeight="1" x14ac:dyDescent="0.2">
      <c r="B151" s="211"/>
      <c r="C151" s="211"/>
      <c r="D151" s="211"/>
      <c r="E151" s="211"/>
      <c r="F151" s="211"/>
      <c r="G151" s="211"/>
      <c r="H151" s="211"/>
    </row>
    <row r="152" spans="2:8" ht="15.75" customHeight="1" x14ac:dyDescent="0.2">
      <c r="B152" s="211"/>
      <c r="C152" s="211"/>
      <c r="D152" s="211"/>
      <c r="E152" s="211"/>
      <c r="F152" s="211"/>
      <c r="G152" s="211"/>
      <c r="H152" s="211"/>
    </row>
    <row r="153" spans="2:8" ht="15.75" customHeight="1" x14ac:dyDescent="0.2">
      <c r="B153" s="211"/>
      <c r="C153" s="211"/>
      <c r="D153" s="211"/>
      <c r="E153" s="211"/>
      <c r="F153" s="211"/>
      <c r="G153" s="211"/>
      <c r="H153" s="211"/>
    </row>
    <row r="154" spans="2:8" ht="15.75" customHeight="1" x14ac:dyDescent="0.2">
      <c r="B154" s="211"/>
      <c r="C154" s="211"/>
      <c r="D154" s="211"/>
      <c r="E154" s="211"/>
      <c r="F154" s="211"/>
      <c r="G154" s="211"/>
      <c r="H154" s="211"/>
    </row>
    <row r="155" spans="2:8" ht="15.75" customHeight="1" x14ac:dyDescent="0.2">
      <c r="B155" s="211"/>
      <c r="C155" s="211"/>
      <c r="D155" s="211"/>
      <c r="E155" s="211"/>
      <c r="F155" s="211"/>
      <c r="G155" s="211"/>
      <c r="H155" s="211"/>
    </row>
    <row r="156" spans="2:8" ht="15.75" customHeight="1" x14ac:dyDescent="0.2">
      <c r="B156" s="211"/>
      <c r="C156" s="211"/>
      <c r="D156" s="211"/>
      <c r="E156" s="211"/>
      <c r="F156" s="211"/>
      <c r="G156" s="211"/>
      <c r="H156" s="211"/>
    </row>
    <row r="157" spans="2:8" ht="15.75" customHeight="1" x14ac:dyDescent="0.2">
      <c r="B157" s="211"/>
      <c r="C157" s="211"/>
      <c r="D157" s="211"/>
      <c r="E157" s="211"/>
      <c r="F157" s="211"/>
      <c r="G157" s="211"/>
      <c r="H157" s="211"/>
    </row>
    <row r="158" spans="2:8" ht="15.75" customHeight="1" x14ac:dyDescent="0.2">
      <c r="B158" s="211"/>
      <c r="C158" s="211"/>
      <c r="D158" s="211"/>
      <c r="E158" s="211"/>
      <c r="F158" s="211"/>
      <c r="G158" s="211"/>
      <c r="H158" s="211"/>
    </row>
    <row r="159" spans="2:8" ht="15.75" customHeight="1" x14ac:dyDescent="0.2">
      <c r="B159" s="211"/>
      <c r="C159" s="211"/>
      <c r="D159" s="211"/>
      <c r="E159" s="211"/>
      <c r="F159" s="211"/>
      <c r="G159" s="211"/>
      <c r="H159" s="211"/>
    </row>
    <row r="160" spans="2:8" ht="15.75" customHeight="1" x14ac:dyDescent="0.2">
      <c r="B160" s="211"/>
      <c r="C160" s="211"/>
      <c r="D160" s="211"/>
      <c r="E160" s="211"/>
      <c r="F160" s="211"/>
      <c r="G160" s="211"/>
      <c r="H160" s="211"/>
    </row>
    <row r="161" spans="2:8" ht="15.75" customHeight="1" x14ac:dyDescent="0.2">
      <c r="B161" s="211"/>
      <c r="C161" s="211"/>
      <c r="D161" s="211"/>
      <c r="E161" s="211"/>
      <c r="F161" s="211"/>
      <c r="G161" s="211"/>
      <c r="H161" s="211"/>
    </row>
    <row r="162" spans="2:8" ht="15.75" customHeight="1" x14ac:dyDescent="0.2">
      <c r="B162" s="211"/>
      <c r="C162" s="211"/>
      <c r="D162" s="211"/>
      <c r="E162" s="211"/>
      <c r="F162" s="211"/>
      <c r="G162" s="211"/>
      <c r="H162" s="211"/>
    </row>
    <row r="163" spans="2:8" ht="15.75" customHeight="1" x14ac:dyDescent="0.2">
      <c r="B163" s="211"/>
      <c r="C163" s="211"/>
      <c r="D163" s="211"/>
      <c r="E163" s="211"/>
      <c r="F163" s="211"/>
      <c r="G163" s="211"/>
      <c r="H163" s="211"/>
    </row>
    <row r="164" spans="2:8" ht="15.75" customHeight="1" x14ac:dyDescent="0.2">
      <c r="B164" s="211"/>
      <c r="C164" s="211"/>
      <c r="D164" s="211"/>
      <c r="E164" s="211"/>
      <c r="F164" s="211"/>
      <c r="G164" s="211"/>
      <c r="H164" s="211"/>
    </row>
    <row r="165" spans="2:8" ht="15.75" customHeight="1" x14ac:dyDescent="0.2">
      <c r="B165" s="211"/>
      <c r="C165" s="211"/>
      <c r="D165" s="211"/>
      <c r="E165" s="211"/>
      <c r="F165" s="211"/>
      <c r="G165" s="211"/>
      <c r="H165" s="211"/>
    </row>
    <row r="166" spans="2:8" ht="15.75" customHeight="1" x14ac:dyDescent="0.2">
      <c r="B166" s="211"/>
      <c r="C166" s="211"/>
      <c r="D166" s="211"/>
      <c r="E166" s="211"/>
      <c r="F166" s="211"/>
      <c r="G166" s="211"/>
      <c r="H166" s="211"/>
    </row>
    <row r="167" spans="2:8" ht="15.75" customHeight="1" x14ac:dyDescent="0.2">
      <c r="B167" s="211"/>
      <c r="C167" s="211"/>
      <c r="D167" s="211"/>
      <c r="E167" s="211"/>
      <c r="F167" s="211"/>
      <c r="G167" s="211"/>
      <c r="H167" s="211"/>
    </row>
    <row r="168" spans="2:8" ht="15.75" customHeight="1" x14ac:dyDescent="0.2">
      <c r="B168" s="211"/>
      <c r="C168" s="211"/>
      <c r="D168" s="211"/>
      <c r="E168" s="211"/>
      <c r="F168" s="211"/>
      <c r="G168" s="211"/>
      <c r="H168" s="211"/>
    </row>
    <row r="169" spans="2:8" ht="15.75" customHeight="1" x14ac:dyDescent="0.2">
      <c r="B169" s="211"/>
      <c r="C169" s="211"/>
      <c r="D169" s="211"/>
      <c r="E169" s="211"/>
      <c r="F169" s="211"/>
      <c r="G169" s="211"/>
      <c r="H169" s="211"/>
    </row>
    <row r="170" spans="2:8" ht="15.75" customHeight="1" x14ac:dyDescent="0.2">
      <c r="B170" s="211"/>
      <c r="C170" s="211"/>
      <c r="D170" s="211"/>
      <c r="E170" s="211"/>
      <c r="F170" s="211"/>
      <c r="G170" s="211"/>
      <c r="H170" s="211"/>
    </row>
    <row r="171" spans="2:8" ht="15.75" customHeight="1" x14ac:dyDescent="0.2">
      <c r="B171" s="211"/>
      <c r="C171" s="211"/>
      <c r="D171" s="211"/>
      <c r="E171" s="211"/>
      <c r="F171" s="211"/>
      <c r="G171" s="211"/>
      <c r="H171" s="211"/>
    </row>
    <row r="172" spans="2:8" ht="15.75" customHeight="1" x14ac:dyDescent="0.2">
      <c r="B172" s="211"/>
      <c r="C172" s="211"/>
      <c r="D172" s="211"/>
      <c r="E172" s="211"/>
      <c r="F172" s="211"/>
      <c r="G172" s="211"/>
      <c r="H172" s="211"/>
    </row>
    <row r="173" spans="2:8" ht="15.75" customHeight="1" x14ac:dyDescent="0.2">
      <c r="B173" s="211"/>
      <c r="C173" s="211"/>
      <c r="D173" s="211"/>
      <c r="E173" s="211"/>
      <c r="F173" s="211"/>
      <c r="G173" s="211"/>
      <c r="H173" s="211"/>
    </row>
    <row r="174" spans="2:8" ht="15.75" customHeight="1" x14ac:dyDescent="0.2">
      <c r="B174" s="211"/>
      <c r="C174" s="211"/>
      <c r="D174" s="211"/>
      <c r="E174" s="211"/>
      <c r="F174" s="211"/>
      <c r="G174" s="211"/>
      <c r="H174" s="211"/>
    </row>
    <row r="175" spans="2:8" ht="15.75" customHeight="1" x14ac:dyDescent="0.2">
      <c r="B175" s="211"/>
      <c r="C175" s="211"/>
      <c r="D175" s="211"/>
      <c r="E175" s="211"/>
      <c r="F175" s="211"/>
      <c r="G175" s="211"/>
      <c r="H175" s="211"/>
    </row>
    <row r="176" spans="2:8" ht="15.75" customHeight="1" x14ac:dyDescent="0.2">
      <c r="B176" s="211"/>
      <c r="C176" s="211"/>
      <c r="D176" s="211"/>
      <c r="E176" s="211"/>
      <c r="F176" s="211"/>
      <c r="G176" s="211"/>
      <c r="H176" s="211"/>
    </row>
    <row r="177" spans="2:8" ht="15.75" customHeight="1" x14ac:dyDescent="0.2">
      <c r="B177" s="211"/>
      <c r="C177" s="211"/>
      <c r="D177" s="211"/>
      <c r="E177" s="211"/>
      <c r="F177" s="211"/>
      <c r="G177" s="211"/>
      <c r="H177" s="211"/>
    </row>
    <row r="178" spans="2:8" ht="15.75" customHeight="1" x14ac:dyDescent="0.2">
      <c r="B178" s="211"/>
      <c r="C178" s="211"/>
      <c r="D178" s="211"/>
      <c r="E178" s="211"/>
      <c r="F178" s="211"/>
      <c r="G178" s="211"/>
      <c r="H178" s="211"/>
    </row>
    <row r="179" spans="2:8" ht="15.75" customHeight="1" x14ac:dyDescent="0.2">
      <c r="B179" s="211"/>
      <c r="C179" s="211"/>
      <c r="D179" s="211"/>
      <c r="E179" s="211"/>
      <c r="F179" s="211"/>
      <c r="G179" s="211"/>
      <c r="H179" s="211"/>
    </row>
    <row r="180" spans="2:8" ht="15.75" customHeight="1" x14ac:dyDescent="0.2">
      <c r="B180" s="211"/>
      <c r="C180" s="211"/>
      <c r="D180" s="211"/>
      <c r="E180" s="211"/>
      <c r="F180" s="211"/>
      <c r="G180" s="211"/>
      <c r="H180" s="211"/>
    </row>
    <row r="181" spans="2:8" ht="15.75" customHeight="1" x14ac:dyDescent="0.2">
      <c r="B181" s="211"/>
      <c r="C181" s="211"/>
      <c r="D181" s="211"/>
      <c r="E181" s="211"/>
      <c r="F181" s="211"/>
      <c r="G181" s="211"/>
      <c r="H181" s="211"/>
    </row>
    <row r="182" spans="2:8" ht="15.75" customHeight="1" x14ac:dyDescent="0.2">
      <c r="B182" s="211"/>
      <c r="C182" s="211"/>
      <c r="D182" s="211"/>
      <c r="E182" s="211"/>
      <c r="F182" s="211"/>
      <c r="G182" s="211"/>
      <c r="H182" s="211"/>
    </row>
    <row r="183" spans="2:8" ht="15.75" customHeight="1" x14ac:dyDescent="0.2">
      <c r="B183" s="211"/>
      <c r="C183" s="211"/>
      <c r="D183" s="211"/>
      <c r="E183" s="211"/>
      <c r="F183" s="211"/>
      <c r="G183" s="211"/>
      <c r="H183" s="211"/>
    </row>
    <row r="184" spans="2:8" ht="15.75" customHeight="1" x14ac:dyDescent="0.2">
      <c r="B184" s="211"/>
      <c r="C184" s="211"/>
      <c r="D184" s="211"/>
      <c r="E184" s="211"/>
      <c r="F184" s="211"/>
      <c r="G184" s="211"/>
      <c r="H184" s="211"/>
    </row>
    <row r="185" spans="2:8" ht="15.75" customHeight="1" x14ac:dyDescent="0.2">
      <c r="B185" s="211"/>
      <c r="C185" s="211"/>
      <c r="D185" s="211"/>
      <c r="E185" s="211"/>
      <c r="F185" s="211"/>
      <c r="G185" s="211"/>
      <c r="H185" s="211"/>
    </row>
    <row r="186" spans="2:8" ht="15.75" customHeight="1" x14ac:dyDescent="0.2">
      <c r="B186" s="211"/>
      <c r="C186" s="211"/>
      <c r="D186" s="211"/>
      <c r="E186" s="211"/>
      <c r="F186" s="211"/>
      <c r="G186" s="211"/>
      <c r="H186" s="211"/>
    </row>
    <row r="187" spans="2:8" ht="15.75" customHeight="1" x14ac:dyDescent="0.2">
      <c r="B187" s="211"/>
      <c r="C187" s="211"/>
      <c r="D187" s="211"/>
      <c r="E187" s="211"/>
      <c r="F187" s="211"/>
      <c r="G187" s="211"/>
      <c r="H187" s="211"/>
    </row>
    <row r="188" spans="2:8" ht="15.75" customHeight="1" x14ac:dyDescent="0.2">
      <c r="B188" s="211"/>
      <c r="C188" s="211"/>
      <c r="D188" s="211"/>
      <c r="E188" s="211"/>
      <c r="F188" s="211"/>
      <c r="G188" s="211"/>
      <c r="H188" s="211"/>
    </row>
    <row r="189" spans="2:8" ht="15.75" customHeight="1" x14ac:dyDescent="0.2">
      <c r="B189" s="211"/>
      <c r="C189" s="211"/>
      <c r="D189" s="211"/>
      <c r="E189" s="211"/>
      <c r="F189" s="211"/>
      <c r="G189" s="211"/>
      <c r="H189" s="211"/>
    </row>
    <row r="190" spans="2:8" ht="15.75" customHeight="1" x14ac:dyDescent="0.2">
      <c r="B190" s="211"/>
      <c r="C190" s="211"/>
      <c r="D190" s="211"/>
      <c r="E190" s="211"/>
      <c r="F190" s="211"/>
      <c r="G190" s="211"/>
      <c r="H190" s="211"/>
    </row>
    <row r="191" spans="2:8" ht="15.75" customHeight="1" x14ac:dyDescent="0.2">
      <c r="B191" s="211"/>
      <c r="C191" s="211"/>
      <c r="D191" s="211"/>
      <c r="E191" s="211"/>
      <c r="F191" s="211"/>
      <c r="G191" s="211"/>
      <c r="H191" s="211"/>
    </row>
    <row r="192" spans="2:8" ht="15.75" customHeight="1" x14ac:dyDescent="0.2">
      <c r="B192" s="211"/>
      <c r="C192" s="211"/>
      <c r="D192" s="211"/>
      <c r="E192" s="211"/>
      <c r="F192" s="211"/>
      <c r="G192" s="211"/>
      <c r="H192" s="211"/>
    </row>
    <row r="193" spans="2:8" ht="15.75" customHeight="1" x14ac:dyDescent="0.2">
      <c r="B193" s="211"/>
      <c r="C193" s="211"/>
      <c r="D193" s="211"/>
      <c r="E193" s="211"/>
      <c r="F193" s="211"/>
      <c r="G193" s="211"/>
      <c r="H193" s="211"/>
    </row>
    <row r="194" spans="2:8" ht="15.75" customHeight="1" x14ac:dyDescent="0.2">
      <c r="B194" s="211"/>
      <c r="C194" s="211"/>
      <c r="D194" s="211"/>
      <c r="E194" s="211"/>
      <c r="F194" s="211"/>
      <c r="G194" s="211"/>
      <c r="H194" s="211"/>
    </row>
    <row r="195" spans="2:8" ht="15.75" customHeight="1" x14ac:dyDescent="0.2">
      <c r="B195" s="211"/>
      <c r="C195" s="211"/>
      <c r="D195" s="211"/>
      <c r="E195" s="211"/>
      <c r="F195" s="211"/>
      <c r="G195" s="211"/>
      <c r="H195" s="211"/>
    </row>
    <row r="196" spans="2:8" ht="15.75" customHeight="1" x14ac:dyDescent="0.2">
      <c r="B196" s="211"/>
      <c r="C196" s="211"/>
      <c r="D196" s="211"/>
      <c r="E196" s="211"/>
      <c r="F196" s="211"/>
      <c r="G196" s="211"/>
      <c r="H196" s="211"/>
    </row>
    <row r="197" spans="2:8" ht="15.75" customHeight="1" x14ac:dyDescent="0.2">
      <c r="B197" s="211"/>
      <c r="C197" s="211"/>
      <c r="D197" s="211"/>
      <c r="E197" s="211"/>
      <c r="F197" s="211"/>
      <c r="G197" s="211"/>
      <c r="H197" s="211"/>
    </row>
    <row r="198" spans="2:8" ht="15.75" customHeight="1" x14ac:dyDescent="0.2">
      <c r="B198" s="211"/>
      <c r="C198" s="211"/>
      <c r="D198" s="211"/>
      <c r="E198" s="211"/>
      <c r="F198" s="211"/>
      <c r="G198" s="211"/>
      <c r="H198" s="211"/>
    </row>
    <row r="199" spans="2:8" ht="15.75" customHeight="1" x14ac:dyDescent="0.2">
      <c r="B199" s="211"/>
      <c r="C199" s="211"/>
      <c r="D199" s="211"/>
      <c r="E199" s="211"/>
      <c r="F199" s="211"/>
      <c r="G199" s="211"/>
      <c r="H199" s="211"/>
    </row>
    <row r="200" spans="2:8" ht="15.75" customHeight="1" x14ac:dyDescent="0.2">
      <c r="B200" s="211"/>
      <c r="C200" s="211"/>
      <c r="D200" s="211"/>
      <c r="E200" s="211"/>
      <c r="F200" s="211"/>
      <c r="G200" s="211"/>
      <c r="H200" s="211"/>
    </row>
    <row r="201" spans="2:8" ht="15.75" customHeight="1" x14ac:dyDescent="0.2">
      <c r="B201" s="211"/>
      <c r="C201" s="211"/>
      <c r="D201" s="211"/>
      <c r="E201" s="211"/>
      <c r="F201" s="211"/>
      <c r="G201" s="211"/>
      <c r="H201" s="211"/>
    </row>
    <row r="202" spans="2:8" ht="15.75" customHeight="1" x14ac:dyDescent="0.2">
      <c r="B202" s="211"/>
      <c r="C202" s="211"/>
      <c r="D202" s="211"/>
      <c r="E202" s="211"/>
      <c r="F202" s="211"/>
      <c r="G202" s="211"/>
      <c r="H202" s="211"/>
    </row>
    <row r="203" spans="2:8" ht="15.75" customHeight="1" x14ac:dyDescent="0.2">
      <c r="B203" s="211"/>
      <c r="C203" s="211"/>
      <c r="D203" s="211"/>
      <c r="E203" s="211"/>
      <c r="F203" s="211"/>
      <c r="G203" s="211"/>
      <c r="H203" s="211"/>
    </row>
    <row r="204" spans="2:8" ht="15.75" customHeight="1" x14ac:dyDescent="0.2">
      <c r="B204" s="211"/>
      <c r="C204" s="211"/>
      <c r="D204" s="211"/>
      <c r="E204" s="211"/>
      <c r="F204" s="211"/>
      <c r="G204" s="211"/>
      <c r="H204" s="211"/>
    </row>
    <row r="205" spans="2:8" ht="15.75" customHeight="1" x14ac:dyDescent="0.2">
      <c r="B205" s="211"/>
      <c r="C205" s="211"/>
      <c r="D205" s="211"/>
      <c r="E205" s="211"/>
      <c r="F205" s="211"/>
      <c r="G205" s="211"/>
      <c r="H205" s="211"/>
    </row>
    <row r="206" spans="2:8" ht="15.75" customHeight="1" x14ac:dyDescent="0.2">
      <c r="B206" s="211"/>
      <c r="C206" s="211"/>
      <c r="D206" s="211"/>
      <c r="E206" s="211"/>
      <c r="F206" s="211"/>
      <c r="G206" s="211"/>
      <c r="H206" s="211"/>
    </row>
    <row r="207" spans="2:8" ht="15.75" customHeight="1" x14ac:dyDescent="0.2">
      <c r="B207" s="211"/>
      <c r="C207" s="211"/>
      <c r="D207" s="211"/>
      <c r="E207" s="211"/>
      <c r="F207" s="211"/>
      <c r="G207" s="211"/>
      <c r="H207" s="211"/>
    </row>
    <row r="208" spans="2:8" ht="15.75" customHeight="1" x14ac:dyDescent="0.2">
      <c r="B208" s="211"/>
      <c r="C208" s="211"/>
      <c r="D208" s="211"/>
      <c r="E208" s="211"/>
      <c r="F208" s="211"/>
      <c r="G208" s="211"/>
      <c r="H208" s="211"/>
    </row>
    <row r="209" spans="2:8" ht="15.75" customHeight="1" x14ac:dyDescent="0.2">
      <c r="B209" s="211"/>
      <c r="C209" s="211"/>
      <c r="D209" s="211"/>
      <c r="E209" s="211"/>
      <c r="F209" s="211"/>
      <c r="G209" s="211"/>
      <c r="H209" s="211"/>
    </row>
    <row r="210" spans="2:8" ht="15.75" customHeight="1" x14ac:dyDescent="0.2">
      <c r="B210" s="211"/>
      <c r="C210" s="211"/>
      <c r="D210" s="211"/>
      <c r="E210" s="211"/>
      <c r="F210" s="211"/>
      <c r="G210" s="211"/>
      <c r="H210" s="211"/>
    </row>
    <row r="211" spans="2:8" ht="15.75" customHeight="1" x14ac:dyDescent="0.2">
      <c r="B211" s="211"/>
      <c r="C211" s="211"/>
      <c r="D211" s="211"/>
      <c r="E211" s="211"/>
      <c r="F211" s="211"/>
      <c r="G211" s="211"/>
      <c r="H211" s="211"/>
    </row>
    <row r="212" spans="2:8" ht="15.75" customHeight="1" x14ac:dyDescent="0.2">
      <c r="B212" s="211"/>
      <c r="C212" s="211"/>
      <c r="D212" s="211"/>
      <c r="E212" s="211"/>
      <c r="F212" s="211"/>
      <c r="G212" s="211"/>
      <c r="H212" s="211"/>
    </row>
    <row r="213" spans="2:8" ht="15.75" customHeight="1" x14ac:dyDescent="0.2">
      <c r="B213" s="211"/>
      <c r="C213" s="211"/>
      <c r="D213" s="211"/>
      <c r="E213" s="211"/>
      <c r="F213" s="211"/>
      <c r="G213" s="211"/>
      <c r="H213" s="211"/>
    </row>
    <row r="214" spans="2:8" ht="15.75" customHeight="1" x14ac:dyDescent="0.2">
      <c r="B214" s="211"/>
      <c r="C214" s="211"/>
      <c r="D214" s="211"/>
      <c r="E214" s="211"/>
      <c r="F214" s="211"/>
      <c r="G214" s="211"/>
      <c r="H214" s="211"/>
    </row>
    <row r="215" spans="2:8" ht="15.75" customHeight="1" x14ac:dyDescent="0.2">
      <c r="B215" s="211"/>
      <c r="C215" s="211"/>
      <c r="D215" s="211"/>
      <c r="E215" s="211"/>
      <c r="F215" s="211"/>
      <c r="G215" s="211"/>
      <c r="H215" s="211"/>
    </row>
    <row r="216" spans="2:8" ht="15.75" customHeight="1" x14ac:dyDescent="0.2">
      <c r="B216" s="211"/>
      <c r="C216" s="211"/>
      <c r="D216" s="211"/>
      <c r="E216" s="211"/>
      <c r="F216" s="211"/>
      <c r="G216" s="211"/>
      <c r="H216" s="211"/>
    </row>
    <row r="217" spans="2:8" ht="15.75" customHeight="1" x14ac:dyDescent="0.2">
      <c r="B217" s="211"/>
      <c r="C217" s="211"/>
      <c r="D217" s="211"/>
      <c r="E217" s="211"/>
      <c r="F217" s="211"/>
      <c r="G217" s="211"/>
      <c r="H217" s="211"/>
    </row>
    <row r="218" spans="2:8" ht="15.75" customHeight="1" x14ac:dyDescent="0.2">
      <c r="B218" s="211"/>
      <c r="C218" s="211"/>
      <c r="D218" s="211"/>
      <c r="E218" s="211"/>
      <c r="F218" s="211"/>
      <c r="G218" s="211"/>
      <c r="H218" s="211"/>
    </row>
    <row r="219" spans="2:8" ht="15.75" customHeight="1" x14ac:dyDescent="0.2">
      <c r="B219" s="211"/>
      <c r="C219" s="211"/>
      <c r="D219" s="211"/>
      <c r="E219" s="211"/>
      <c r="F219" s="211"/>
      <c r="G219" s="211"/>
      <c r="H219" s="211"/>
    </row>
    <row r="220" spans="2:8" ht="15.75" customHeight="1" x14ac:dyDescent="0.2">
      <c r="B220" s="211"/>
      <c r="C220" s="211"/>
      <c r="D220" s="211"/>
      <c r="E220" s="211"/>
      <c r="F220" s="211"/>
      <c r="G220" s="211"/>
      <c r="H220" s="211"/>
    </row>
    <row r="221" spans="2:8" ht="15.75" customHeight="1" x14ac:dyDescent="0.2">
      <c r="B221" s="211"/>
      <c r="C221" s="211"/>
      <c r="D221" s="211"/>
      <c r="E221" s="211"/>
      <c r="F221" s="211"/>
      <c r="G221" s="211"/>
      <c r="H221" s="211"/>
    </row>
    <row r="222" spans="2:8" ht="15.75" customHeight="1" x14ac:dyDescent="0.2">
      <c r="B222" s="211"/>
      <c r="C222" s="211"/>
      <c r="D222" s="211"/>
      <c r="E222" s="211"/>
      <c r="F222" s="211"/>
      <c r="G222" s="211"/>
      <c r="H222" s="211"/>
    </row>
    <row r="223" spans="2:8" ht="15.75" customHeight="1" x14ac:dyDescent="0.2">
      <c r="B223" s="211"/>
      <c r="C223" s="211"/>
      <c r="D223" s="211"/>
      <c r="E223" s="211"/>
      <c r="F223" s="211"/>
      <c r="G223" s="211"/>
      <c r="H223" s="211"/>
    </row>
    <row r="224" spans="2:8" ht="15.75" customHeight="1" x14ac:dyDescent="0.2">
      <c r="B224" s="211"/>
      <c r="C224" s="211"/>
      <c r="D224" s="211"/>
      <c r="E224" s="211"/>
      <c r="F224" s="211"/>
      <c r="G224" s="211"/>
      <c r="H224" s="211"/>
    </row>
    <row r="225" spans="2:8" ht="15.75" customHeight="1" x14ac:dyDescent="0.2">
      <c r="B225" s="211"/>
      <c r="C225" s="211"/>
      <c r="D225" s="211"/>
      <c r="E225" s="211"/>
      <c r="F225" s="211"/>
      <c r="G225" s="211"/>
      <c r="H225" s="211"/>
    </row>
    <row r="226" spans="2:8" ht="15.75" customHeight="1" x14ac:dyDescent="0.2">
      <c r="B226" s="211"/>
      <c r="C226" s="211"/>
      <c r="D226" s="211"/>
      <c r="E226" s="211"/>
      <c r="F226" s="211"/>
      <c r="G226" s="211"/>
      <c r="H226" s="211"/>
    </row>
    <row r="227" spans="2:8" ht="15.75" customHeight="1" x14ac:dyDescent="0.2">
      <c r="B227" s="211"/>
      <c r="C227" s="211"/>
      <c r="D227" s="211"/>
      <c r="E227" s="211"/>
      <c r="F227" s="211"/>
      <c r="G227" s="211"/>
      <c r="H227" s="211"/>
    </row>
    <row r="228" spans="2:8" ht="15.75" customHeight="1" x14ac:dyDescent="0.2">
      <c r="B228" s="211"/>
      <c r="C228" s="211"/>
      <c r="D228" s="211"/>
      <c r="E228" s="211"/>
      <c r="F228" s="211"/>
      <c r="G228" s="211"/>
      <c r="H228" s="211"/>
    </row>
    <row r="229" spans="2:8" ht="15.75" customHeight="1" x14ac:dyDescent="0.2">
      <c r="B229" s="211"/>
      <c r="C229" s="211"/>
      <c r="D229" s="211"/>
      <c r="E229" s="211"/>
      <c r="F229" s="211"/>
      <c r="G229" s="211"/>
      <c r="H229" s="211"/>
    </row>
    <row r="230" spans="2:8" ht="15.75" customHeight="1" x14ac:dyDescent="0.2">
      <c r="B230" s="211"/>
      <c r="C230" s="211"/>
      <c r="D230" s="211"/>
      <c r="E230" s="211"/>
      <c r="F230" s="211"/>
      <c r="G230" s="211"/>
      <c r="H230" s="211"/>
    </row>
    <row r="231" spans="2:8" ht="15.75" customHeight="1" x14ac:dyDescent="0.2">
      <c r="B231" s="211"/>
      <c r="C231" s="211"/>
      <c r="D231" s="211"/>
      <c r="E231" s="211"/>
      <c r="F231" s="211"/>
      <c r="G231" s="211"/>
      <c r="H231" s="211"/>
    </row>
    <row r="232" spans="2:8" ht="15.75" customHeight="1" x14ac:dyDescent="0.2">
      <c r="B232" s="211"/>
      <c r="C232" s="211"/>
      <c r="D232" s="211"/>
      <c r="E232" s="211"/>
      <c r="F232" s="211"/>
      <c r="G232" s="211"/>
      <c r="H232" s="211"/>
    </row>
    <row r="233" spans="2:8" ht="15.75" customHeight="1" x14ac:dyDescent="0.2">
      <c r="B233" s="211"/>
      <c r="C233" s="211"/>
      <c r="D233" s="211"/>
      <c r="E233" s="211"/>
      <c r="F233" s="211"/>
      <c r="G233" s="211"/>
      <c r="H233" s="211"/>
    </row>
    <row r="234" spans="2:8" ht="15.75" customHeight="1" x14ac:dyDescent="0.2">
      <c r="B234" s="211"/>
      <c r="C234" s="211"/>
      <c r="D234" s="211"/>
      <c r="E234" s="211"/>
      <c r="F234" s="211"/>
      <c r="G234" s="211"/>
      <c r="H234" s="211"/>
    </row>
    <row r="235" spans="2:8" ht="15.75" customHeight="1" x14ac:dyDescent="0.2">
      <c r="B235" s="211"/>
      <c r="C235" s="211"/>
      <c r="D235" s="211"/>
      <c r="E235" s="211"/>
      <c r="F235" s="211"/>
      <c r="G235" s="211"/>
      <c r="H235" s="211"/>
    </row>
    <row r="236" spans="2:8" ht="15.75" customHeight="1" x14ac:dyDescent="0.2">
      <c r="B236" s="211"/>
      <c r="C236" s="211"/>
      <c r="D236" s="211"/>
      <c r="E236" s="211"/>
      <c r="F236" s="211"/>
      <c r="G236" s="211"/>
      <c r="H236" s="211"/>
    </row>
    <row r="237" spans="2:8" ht="15.75" customHeight="1" x14ac:dyDescent="0.2">
      <c r="B237" s="211"/>
      <c r="C237" s="211"/>
      <c r="D237" s="211"/>
      <c r="E237" s="211"/>
      <c r="F237" s="211"/>
      <c r="G237" s="211"/>
      <c r="H237" s="211"/>
    </row>
    <row r="238" spans="2:8" ht="15.75" customHeight="1" x14ac:dyDescent="0.2">
      <c r="B238" s="211"/>
      <c r="C238" s="211"/>
      <c r="D238" s="211"/>
      <c r="E238" s="211"/>
      <c r="F238" s="211"/>
      <c r="G238" s="211"/>
      <c r="H238" s="211"/>
    </row>
    <row r="239" spans="2:8" ht="15.75" customHeight="1" x14ac:dyDescent="0.2">
      <c r="B239" s="211"/>
      <c r="C239" s="211"/>
      <c r="D239" s="211"/>
      <c r="E239" s="211"/>
      <c r="F239" s="211"/>
      <c r="G239" s="211"/>
      <c r="H239" s="211"/>
    </row>
    <row r="240" spans="2:8" ht="15.75" customHeight="1" x14ac:dyDescent="0.2">
      <c r="B240" s="211"/>
      <c r="C240" s="211"/>
      <c r="D240" s="211"/>
      <c r="E240" s="211"/>
      <c r="F240" s="211"/>
      <c r="G240" s="211"/>
      <c r="H240" s="211"/>
    </row>
    <row r="241" spans="2:8" ht="15.75" customHeight="1" x14ac:dyDescent="0.2">
      <c r="B241" s="211"/>
      <c r="C241" s="211"/>
      <c r="D241" s="211"/>
      <c r="E241" s="211"/>
      <c r="F241" s="211"/>
      <c r="G241" s="211"/>
      <c r="H241" s="211"/>
    </row>
    <row r="242" spans="2:8" ht="15.75" customHeight="1" x14ac:dyDescent="0.2">
      <c r="B242" s="211"/>
      <c r="C242" s="211"/>
      <c r="D242" s="211"/>
      <c r="E242" s="211"/>
      <c r="F242" s="211"/>
      <c r="G242" s="211"/>
      <c r="H242" s="211"/>
    </row>
    <row r="243" spans="2:8" ht="15.75" customHeight="1" x14ac:dyDescent="0.2">
      <c r="B243" s="211"/>
      <c r="C243" s="211"/>
      <c r="D243" s="211"/>
      <c r="E243" s="211"/>
      <c r="F243" s="211"/>
      <c r="G243" s="211"/>
      <c r="H243" s="211"/>
    </row>
    <row r="244" spans="2:8" ht="15.75" customHeight="1" x14ac:dyDescent="0.2">
      <c r="B244" s="211"/>
      <c r="C244" s="211"/>
      <c r="D244" s="211"/>
      <c r="E244" s="211"/>
      <c r="F244" s="211"/>
      <c r="G244" s="211"/>
      <c r="H244" s="211"/>
    </row>
    <row r="245" spans="2:8" ht="15.75" customHeight="1" x14ac:dyDescent="0.2">
      <c r="B245" s="211"/>
      <c r="C245" s="211"/>
      <c r="D245" s="211"/>
      <c r="E245" s="211"/>
      <c r="F245" s="211"/>
      <c r="G245" s="211"/>
      <c r="H245" s="211"/>
    </row>
    <row r="246" spans="2:8" ht="15.75" customHeight="1" x14ac:dyDescent="0.2">
      <c r="B246" s="211"/>
      <c r="C246" s="211"/>
      <c r="D246" s="211"/>
      <c r="E246" s="211"/>
      <c r="F246" s="211"/>
      <c r="G246" s="211"/>
      <c r="H246" s="211"/>
    </row>
    <row r="247" spans="2:8" ht="15.75" customHeight="1" x14ac:dyDescent="0.2">
      <c r="B247" s="211"/>
      <c r="C247" s="211"/>
      <c r="D247" s="211"/>
      <c r="E247" s="211"/>
      <c r="F247" s="211"/>
      <c r="G247" s="211"/>
      <c r="H247" s="211"/>
    </row>
    <row r="248" spans="2:8" ht="15.75" customHeight="1" x14ac:dyDescent="0.2">
      <c r="B248" s="211"/>
      <c r="C248" s="211"/>
      <c r="D248" s="211"/>
      <c r="E248" s="211"/>
      <c r="F248" s="211"/>
      <c r="G248" s="211"/>
      <c r="H248" s="211"/>
    </row>
    <row r="249" spans="2:8" ht="15.75" customHeight="1" x14ac:dyDescent="0.2">
      <c r="B249" s="211"/>
      <c r="C249" s="211"/>
      <c r="D249" s="211"/>
      <c r="E249" s="211"/>
      <c r="F249" s="211"/>
      <c r="G249" s="211"/>
      <c r="H249" s="211"/>
    </row>
    <row r="250" spans="2:8" ht="15.75" customHeight="1" x14ac:dyDescent="0.2">
      <c r="B250" s="211"/>
      <c r="C250" s="211"/>
      <c r="D250" s="211"/>
      <c r="E250" s="211"/>
      <c r="F250" s="211"/>
      <c r="G250" s="211"/>
      <c r="H250" s="211"/>
    </row>
    <row r="251" spans="2:8" ht="15.75" customHeight="1" x14ac:dyDescent="0.2">
      <c r="B251" s="211"/>
      <c r="C251" s="211"/>
      <c r="D251" s="211"/>
      <c r="E251" s="211"/>
      <c r="F251" s="211"/>
      <c r="G251" s="211"/>
      <c r="H251" s="211"/>
    </row>
    <row r="252" spans="2:8" ht="15.75" customHeight="1" x14ac:dyDescent="0.2">
      <c r="B252" s="211"/>
      <c r="C252" s="211"/>
      <c r="D252" s="211"/>
      <c r="E252" s="211"/>
      <c r="F252" s="211"/>
      <c r="G252" s="211"/>
      <c r="H252" s="211"/>
    </row>
    <row r="253" spans="2:8" ht="15.75" customHeight="1" x14ac:dyDescent="0.2">
      <c r="B253" s="211"/>
      <c r="C253" s="211"/>
      <c r="D253" s="211"/>
      <c r="E253" s="211"/>
      <c r="F253" s="211"/>
      <c r="G253" s="211"/>
      <c r="H253" s="211"/>
    </row>
    <row r="254" spans="2:8" ht="15.75" customHeight="1" x14ac:dyDescent="0.2">
      <c r="B254" s="211"/>
      <c r="C254" s="211"/>
      <c r="D254" s="211"/>
      <c r="E254" s="211"/>
      <c r="F254" s="211"/>
      <c r="G254" s="211"/>
      <c r="H254" s="211"/>
    </row>
    <row r="255" spans="2:8" ht="15.75" customHeight="1" x14ac:dyDescent="0.2">
      <c r="B255" s="211"/>
      <c r="C255" s="211"/>
      <c r="D255" s="211"/>
      <c r="E255" s="211"/>
      <c r="F255" s="211"/>
      <c r="G255" s="211"/>
      <c r="H255" s="211"/>
    </row>
    <row r="256" spans="2:8" ht="15.75" customHeight="1" x14ac:dyDescent="0.2">
      <c r="B256" s="211"/>
      <c r="C256" s="211"/>
      <c r="D256" s="211"/>
      <c r="E256" s="211"/>
      <c r="F256" s="211"/>
      <c r="G256" s="211"/>
      <c r="H256" s="211"/>
    </row>
    <row r="257" spans="2:8" ht="15.75" customHeight="1" x14ac:dyDescent="0.2">
      <c r="B257" s="211"/>
      <c r="C257" s="211"/>
      <c r="D257" s="211"/>
      <c r="E257" s="211"/>
      <c r="F257" s="211"/>
      <c r="G257" s="211"/>
      <c r="H257" s="211"/>
    </row>
    <row r="258" spans="2:8" ht="15.75" customHeight="1" x14ac:dyDescent="0.2">
      <c r="B258" s="211"/>
      <c r="C258" s="211"/>
      <c r="D258" s="211"/>
      <c r="E258" s="211"/>
      <c r="F258" s="211"/>
      <c r="G258" s="211"/>
      <c r="H258" s="211"/>
    </row>
    <row r="259" spans="2:8" ht="15.75" customHeight="1" x14ac:dyDescent="0.2">
      <c r="B259" s="211"/>
      <c r="C259" s="211"/>
      <c r="D259" s="211"/>
      <c r="E259" s="211"/>
      <c r="F259" s="211"/>
      <c r="G259" s="211"/>
      <c r="H259" s="211"/>
    </row>
    <row r="260" spans="2:8" ht="15.75" customHeight="1" x14ac:dyDescent="0.2">
      <c r="B260" s="211"/>
      <c r="C260" s="211"/>
      <c r="D260" s="211"/>
      <c r="E260" s="211"/>
      <c r="F260" s="211"/>
      <c r="G260" s="211"/>
      <c r="H260" s="211"/>
    </row>
    <row r="261" spans="2:8" ht="15.75" customHeight="1" x14ac:dyDescent="0.2">
      <c r="B261" s="211"/>
      <c r="C261" s="211"/>
      <c r="D261" s="211"/>
      <c r="E261" s="211"/>
      <c r="F261" s="211"/>
      <c r="G261" s="211"/>
      <c r="H261" s="211"/>
    </row>
    <row r="262" spans="2:8" ht="15.75" customHeight="1" x14ac:dyDescent="0.2">
      <c r="B262" s="211"/>
      <c r="C262" s="211"/>
      <c r="D262" s="211"/>
      <c r="E262" s="211"/>
      <c r="F262" s="211"/>
      <c r="G262" s="211"/>
      <c r="H262" s="211"/>
    </row>
    <row r="263" spans="2:8" ht="15.75" customHeight="1" x14ac:dyDescent="0.2">
      <c r="B263" s="211"/>
      <c r="C263" s="211"/>
      <c r="D263" s="211"/>
      <c r="E263" s="211"/>
      <c r="F263" s="211"/>
      <c r="G263" s="211"/>
      <c r="H263" s="211"/>
    </row>
    <row r="264" spans="2:8" ht="15.75" customHeight="1" x14ac:dyDescent="0.2">
      <c r="B264" s="211"/>
      <c r="C264" s="211"/>
      <c r="D264" s="211"/>
      <c r="E264" s="211"/>
      <c r="F264" s="211"/>
      <c r="G264" s="211"/>
      <c r="H264" s="211"/>
    </row>
    <row r="265" spans="2:8" ht="15.75" customHeight="1" x14ac:dyDescent="0.2">
      <c r="B265" s="211"/>
      <c r="C265" s="211"/>
      <c r="D265" s="211"/>
      <c r="E265" s="211"/>
      <c r="F265" s="211"/>
      <c r="G265" s="211"/>
      <c r="H265" s="211"/>
    </row>
    <row r="266" spans="2:8" ht="15.75" customHeight="1" x14ac:dyDescent="0.2">
      <c r="B266" s="211"/>
      <c r="C266" s="211"/>
      <c r="D266" s="211"/>
      <c r="E266" s="211"/>
      <c r="F266" s="211"/>
      <c r="G266" s="211"/>
      <c r="H266" s="211"/>
    </row>
    <row r="267" spans="2:8" ht="15.75" customHeight="1" x14ac:dyDescent="0.2">
      <c r="B267" s="211"/>
      <c r="C267" s="211"/>
      <c r="D267" s="211"/>
      <c r="E267" s="211"/>
      <c r="F267" s="211"/>
      <c r="G267" s="211"/>
      <c r="H267" s="211"/>
    </row>
    <row r="268" spans="2:8" ht="15.75" customHeight="1" x14ac:dyDescent="0.2">
      <c r="B268" s="211"/>
      <c r="C268" s="211"/>
      <c r="D268" s="211"/>
      <c r="E268" s="211"/>
      <c r="F268" s="211"/>
      <c r="G268" s="211"/>
      <c r="H268" s="211"/>
    </row>
    <row r="269" spans="2:8" ht="15.75" customHeight="1" x14ac:dyDescent="0.2">
      <c r="B269" s="211"/>
      <c r="C269" s="211"/>
      <c r="D269" s="211"/>
      <c r="E269" s="211"/>
      <c r="F269" s="211"/>
      <c r="G269" s="211"/>
      <c r="H269" s="211"/>
    </row>
    <row r="270" spans="2:8" ht="15.75" customHeight="1" x14ac:dyDescent="0.2">
      <c r="B270" s="211"/>
      <c r="C270" s="211"/>
      <c r="D270" s="211"/>
      <c r="E270" s="211"/>
      <c r="F270" s="211"/>
      <c r="G270" s="211"/>
      <c r="H270" s="211"/>
    </row>
    <row r="271" spans="2:8" ht="15.75" customHeight="1" x14ac:dyDescent="0.2">
      <c r="B271" s="211"/>
      <c r="C271" s="211"/>
      <c r="D271" s="211"/>
      <c r="E271" s="211"/>
      <c r="F271" s="211"/>
      <c r="G271" s="211"/>
      <c r="H271" s="211"/>
    </row>
    <row r="272" spans="2:8" ht="15.75" customHeight="1" x14ac:dyDescent="0.2">
      <c r="B272" s="211"/>
      <c r="C272" s="211"/>
      <c r="D272" s="211"/>
      <c r="E272" s="211"/>
      <c r="F272" s="211"/>
      <c r="G272" s="211"/>
      <c r="H272" s="211"/>
    </row>
    <row r="273" spans="2:8" ht="15.75" customHeight="1" x14ac:dyDescent="0.2">
      <c r="B273" s="211"/>
      <c r="C273" s="211"/>
      <c r="D273" s="211"/>
      <c r="E273" s="211"/>
      <c r="F273" s="211"/>
      <c r="G273" s="211"/>
      <c r="H273" s="211"/>
    </row>
    <row r="274" spans="2:8" ht="15.75" customHeight="1" x14ac:dyDescent="0.2">
      <c r="B274" s="211"/>
      <c r="C274" s="211"/>
      <c r="D274" s="211"/>
      <c r="E274" s="211"/>
      <c r="F274" s="211"/>
      <c r="G274" s="211"/>
      <c r="H274" s="211"/>
    </row>
    <row r="275" spans="2:8" ht="15.75" customHeight="1" x14ac:dyDescent="0.2">
      <c r="B275" s="211"/>
      <c r="C275" s="211"/>
      <c r="D275" s="211"/>
      <c r="E275" s="211"/>
      <c r="F275" s="211"/>
      <c r="G275" s="211"/>
      <c r="H275" s="211"/>
    </row>
    <row r="276" spans="2:8" ht="15.75" customHeight="1" x14ac:dyDescent="0.2">
      <c r="B276" s="211"/>
      <c r="C276" s="211"/>
      <c r="D276" s="211"/>
      <c r="E276" s="211"/>
      <c r="F276" s="211"/>
      <c r="G276" s="211"/>
      <c r="H276" s="211"/>
    </row>
    <row r="277" spans="2:8" ht="15.75" customHeight="1" x14ac:dyDescent="0.2">
      <c r="B277" s="211"/>
      <c r="C277" s="211"/>
      <c r="D277" s="211"/>
      <c r="E277" s="211"/>
      <c r="F277" s="211"/>
      <c r="G277" s="211"/>
      <c r="H277" s="211"/>
    </row>
    <row r="278" spans="2:8" ht="15.75" customHeight="1" x14ac:dyDescent="0.2">
      <c r="B278" s="211"/>
      <c r="C278" s="211"/>
      <c r="D278" s="211"/>
      <c r="E278" s="211"/>
      <c r="F278" s="211"/>
      <c r="G278" s="211"/>
      <c r="H278" s="211"/>
    </row>
    <row r="279" spans="2:8" ht="15.75" customHeight="1" x14ac:dyDescent="0.2">
      <c r="B279" s="211"/>
      <c r="C279" s="211"/>
      <c r="D279" s="211"/>
      <c r="E279" s="211"/>
      <c r="F279" s="211"/>
      <c r="G279" s="211"/>
      <c r="H279" s="211"/>
    </row>
    <row r="280" spans="2:8" ht="15.75" customHeight="1" x14ac:dyDescent="0.2">
      <c r="B280" s="211"/>
      <c r="C280" s="211"/>
      <c r="D280" s="211"/>
      <c r="E280" s="211"/>
      <c r="F280" s="211"/>
      <c r="G280" s="211"/>
      <c r="H280" s="211"/>
    </row>
    <row r="281" spans="2:8" ht="15.75" customHeight="1" x14ac:dyDescent="0.2">
      <c r="B281" s="211"/>
      <c r="C281" s="211"/>
      <c r="D281" s="211"/>
      <c r="E281" s="211"/>
      <c r="F281" s="211"/>
      <c r="G281" s="211"/>
      <c r="H281" s="211"/>
    </row>
    <row r="282" spans="2:8" ht="15.75" customHeight="1" x14ac:dyDescent="0.2">
      <c r="B282" s="211"/>
      <c r="C282" s="211"/>
      <c r="D282" s="211"/>
      <c r="E282" s="211"/>
      <c r="F282" s="211"/>
      <c r="G282" s="211"/>
      <c r="H282" s="211"/>
    </row>
    <row r="283" spans="2:8" ht="15.75" customHeight="1" x14ac:dyDescent="0.2">
      <c r="B283" s="211"/>
      <c r="C283" s="211"/>
      <c r="D283" s="211"/>
      <c r="E283" s="211"/>
      <c r="F283" s="211"/>
      <c r="G283" s="211"/>
      <c r="H283" s="211"/>
    </row>
    <row r="284" spans="2:8" ht="15.75" customHeight="1" x14ac:dyDescent="0.2">
      <c r="B284" s="211"/>
      <c r="C284" s="211"/>
      <c r="D284" s="211"/>
      <c r="E284" s="211"/>
      <c r="F284" s="211"/>
      <c r="G284" s="211"/>
      <c r="H284" s="211"/>
    </row>
    <row r="285" spans="2:8" ht="15.75" customHeight="1" x14ac:dyDescent="0.2">
      <c r="B285" s="211"/>
      <c r="C285" s="211"/>
      <c r="D285" s="211"/>
      <c r="E285" s="211"/>
      <c r="F285" s="211"/>
      <c r="G285" s="211"/>
      <c r="H285" s="211"/>
    </row>
    <row r="286" spans="2:8" ht="15.75" customHeight="1" x14ac:dyDescent="0.2">
      <c r="B286" s="211"/>
      <c r="C286" s="211"/>
      <c r="D286" s="211"/>
      <c r="E286" s="211"/>
      <c r="F286" s="211"/>
      <c r="G286" s="211"/>
      <c r="H286" s="211"/>
    </row>
    <row r="287" spans="2:8" ht="15.75" customHeight="1" x14ac:dyDescent="0.2">
      <c r="B287" s="211"/>
      <c r="C287" s="211"/>
      <c r="D287" s="211"/>
      <c r="E287" s="211"/>
      <c r="F287" s="211"/>
      <c r="G287" s="211"/>
      <c r="H287" s="211"/>
    </row>
    <row r="288" spans="2:8" ht="15.75" customHeight="1" x14ac:dyDescent="0.2">
      <c r="B288" s="211"/>
      <c r="C288" s="211"/>
      <c r="D288" s="211"/>
      <c r="E288" s="211"/>
      <c r="F288" s="211"/>
      <c r="G288" s="211"/>
      <c r="H288" s="211"/>
    </row>
    <row r="289" spans="2:8" ht="15.75" customHeight="1" x14ac:dyDescent="0.2">
      <c r="B289" s="211"/>
      <c r="C289" s="211"/>
      <c r="D289" s="211"/>
      <c r="E289" s="211"/>
      <c r="F289" s="211"/>
      <c r="G289" s="211"/>
      <c r="H289" s="211"/>
    </row>
    <row r="290" spans="2:8" ht="15.75" customHeight="1" x14ac:dyDescent="0.2">
      <c r="B290" s="211"/>
      <c r="C290" s="211"/>
      <c r="D290" s="211"/>
      <c r="E290" s="211"/>
      <c r="F290" s="211"/>
      <c r="G290" s="211"/>
      <c r="H290" s="211"/>
    </row>
    <row r="291" spans="2:8" ht="15.75" customHeight="1" x14ac:dyDescent="0.2">
      <c r="B291" s="211"/>
      <c r="C291" s="211"/>
      <c r="D291" s="211"/>
      <c r="E291" s="211"/>
      <c r="F291" s="211"/>
      <c r="G291" s="211"/>
      <c r="H291" s="211"/>
    </row>
    <row r="292" spans="2:8" ht="15.75" customHeight="1" x14ac:dyDescent="0.2">
      <c r="B292" s="211"/>
      <c r="C292" s="211"/>
      <c r="D292" s="211"/>
      <c r="E292" s="211"/>
      <c r="F292" s="211"/>
      <c r="G292" s="211"/>
      <c r="H292" s="211"/>
    </row>
    <row r="293" spans="2:8" ht="15.75" customHeight="1" x14ac:dyDescent="0.2">
      <c r="B293" s="211"/>
      <c r="C293" s="211"/>
      <c r="D293" s="211"/>
      <c r="E293" s="211"/>
      <c r="F293" s="211"/>
      <c r="G293" s="211"/>
      <c r="H293" s="211"/>
    </row>
    <row r="294" spans="2:8" ht="15.75" customHeight="1" x14ac:dyDescent="0.2">
      <c r="B294" s="211"/>
      <c r="C294" s="211"/>
      <c r="D294" s="211"/>
      <c r="E294" s="211"/>
      <c r="F294" s="211"/>
      <c r="G294" s="211"/>
      <c r="H294" s="211"/>
    </row>
    <row r="295" spans="2:8" ht="15.75" customHeight="1" x14ac:dyDescent="0.2">
      <c r="B295" s="211"/>
      <c r="C295" s="211"/>
      <c r="D295" s="211"/>
      <c r="E295" s="211"/>
      <c r="F295" s="211"/>
      <c r="G295" s="211"/>
      <c r="H295" s="211"/>
    </row>
    <row r="296" spans="2:8" ht="15.75" customHeight="1" x14ac:dyDescent="0.2">
      <c r="B296" s="211"/>
      <c r="C296" s="211"/>
      <c r="D296" s="211"/>
      <c r="E296" s="211"/>
      <c r="F296" s="211"/>
      <c r="G296" s="211"/>
      <c r="H296" s="211"/>
    </row>
    <row r="297" spans="2:8" ht="15.75" customHeight="1" x14ac:dyDescent="0.2">
      <c r="B297" s="211"/>
      <c r="C297" s="211"/>
      <c r="D297" s="211"/>
      <c r="E297" s="211"/>
      <c r="F297" s="211"/>
      <c r="G297" s="211"/>
      <c r="H297" s="211"/>
    </row>
    <row r="298" spans="2:8" ht="15.75" customHeight="1" x14ac:dyDescent="0.2">
      <c r="B298" s="211"/>
      <c r="C298" s="211"/>
      <c r="D298" s="211"/>
      <c r="E298" s="211"/>
      <c r="F298" s="211"/>
      <c r="G298" s="211"/>
      <c r="H298" s="211"/>
    </row>
    <row r="299" spans="2:8" ht="15.75" customHeight="1" x14ac:dyDescent="0.2">
      <c r="B299" s="211"/>
      <c r="C299" s="211"/>
      <c r="D299" s="211"/>
      <c r="E299" s="211"/>
      <c r="F299" s="211"/>
      <c r="G299" s="211"/>
      <c r="H299" s="211"/>
    </row>
    <row r="300" spans="2:8" ht="15.75" customHeight="1" x14ac:dyDescent="0.2">
      <c r="B300" s="211"/>
      <c r="C300" s="211"/>
      <c r="D300" s="211"/>
      <c r="E300" s="211"/>
      <c r="F300" s="211"/>
      <c r="G300" s="211"/>
      <c r="H300" s="211"/>
    </row>
    <row r="301" spans="2:8" ht="15.75" customHeight="1" x14ac:dyDescent="0.2">
      <c r="B301" s="211"/>
      <c r="C301" s="211"/>
      <c r="D301" s="211"/>
      <c r="E301" s="211"/>
      <c r="F301" s="211"/>
      <c r="G301" s="211"/>
      <c r="H301" s="211"/>
    </row>
    <row r="302" spans="2:8" ht="15.75" customHeight="1" x14ac:dyDescent="0.2">
      <c r="B302" s="211"/>
      <c r="C302" s="211"/>
      <c r="D302" s="211"/>
      <c r="E302" s="211"/>
      <c r="F302" s="211"/>
      <c r="G302" s="211"/>
      <c r="H302" s="211"/>
    </row>
    <row r="303" spans="2:8" ht="15.75" customHeight="1" x14ac:dyDescent="0.2">
      <c r="B303" s="211"/>
      <c r="C303" s="211"/>
      <c r="D303" s="211"/>
      <c r="E303" s="211"/>
      <c r="F303" s="211"/>
      <c r="G303" s="211"/>
      <c r="H303" s="211"/>
    </row>
    <row r="304" spans="2:8" ht="15.75" customHeight="1" x14ac:dyDescent="0.2">
      <c r="B304" s="211"/>
      <c r="C304" s="211"/>
      <c r="D304" s="211"/>
      <c r="E304" s="211"/>
      <c r="F304" s="211"/>
      <c r="G304" s="211"/>
      <c r="H304" s="211"/>
    </row>
    <row r="305" spans="2:8" ht="15.75" customHeight="1" x14ac:dyDescent="0.2">
      <c r="B305" s="211"/>
      <c r="C305" s="211"/>
      <c r="D305" s="211"/>
      <c r="E305" s="211"/>
      <c r="F305" s="211"/>
      <c r="G305" s="211"/>
      <c r="H305" s="211"/>
    </row>
    <row r="306" spans="2:8" ht="15.75" customHeight="1" x14ac:dyDescent="0.2">
      <c r="B306" s="211"/>
      <c r="C306" s="211"/>
      <c r="D306" s="211"/>
      <c r="E306" s="211"/>
      <c r="F306" s="211"/>
      <c r="G306" s="211"/>
      <c r="H306" s="211"/>
    </row>
    <row r="307" spans="2:8" ht="15.75" customHeight="1" x14ac:dyDescent="0.2">
      <c r="B307" s="211"/>
      <c r="C307" s="211"/>
      <c r="D307" s="211"/>
      <c r="E307" s="211"/>
      <c r="F307" s="211"/>
      <c r="G307" s="211"/>
      <c r="H307" s="211"/>
    </row>
    <row r="308" spans="2:8" ht="15.75" customHeight="1" x14ac:dyDescent="0.2">
      <c r="B308" s="211"/>
      <c r="C308" s="211"/>
      <c r="D308" s="211"/>
      <c r="E308" s="211"/>
      <c r="F308" s="211"/>
      <c r="G308" s="211"/>
      <c r="H308" s="211"/>
    </row>
    <row r="309" spans="2:8" ht="15.75" customHeight="1" x14ac:dyDescent="0.2">
      <c r="B309" s="211"/>
      <c r="C309" s="211"/>
      <c r="D309" s="211"/>
      <c r="E309" s="211"/>
      <c r="F309" s="211"/>
      <c r="G309" s="211"/>
      <c r="H309" s="211"/>
    </row>
    <row r="310" spans="2:8" ht="15.75" customHeight="1" x14ac:dyDescent="0.2">
      <c r="B310" s="211"/>
      <c r="C310" s="211"/>
      <c r="D310" s="211"/>
      <c r="E310" s="211"/>
      <c r="F310" s="211"/>
      <c r="G310" s="211"/>
      <c r="H310" s="211"/>
    </row>
    <row r="311" spans="2:8" ht="15.75" customHeight="1" x14ac:dyDescent="0.2">
      <c r="B311" s="211"/>
      <c r="C311" s="211"/>
      <c r="D311" s="211"/>
      <c r="E311" s="211"/>
      <c r="F311" s="211"/>
      <c r="G311" s="211"/>
      <c r="H311" s="211"/>
    </row>
    <row r="312" spans="2:8" ht="15.75" customHeight="1" x14ac:dyDescent="0.2">
      <c r="B312" s="211"/>
      <c r="C312" s="211"/>
      <c r="D312" s="211"/>
      <c r="E312" s="211"/>
      <c r="F312" s="211"/>
      <c r="G312" s="211"/>
      <c r="H312" s="211"/>
    </row>
    <row r="313" spans="2:8" ht="15.75" customHeight="1" x14ac:dyDescent="0.2">
      <c r="B313" s="211"/>
      <c r="C313" s="211"/>
      <c r="D313" s="211"/>
      <c r="E313" s="211"/>
      <c r="F313" s="211"/>
      <c r="G313" s="211"/>
      <c r="H313" s="211"/>
    </row>
    <row r="314" spans="2:8" ht="15.75" customHeight="1" x14ac:dyDescent="0.2">
      <c r="B314" s="211"/>
      <c r="C314" s="211"/>
      <c r="D314" s="211"/>
      <c r="E314" s="211"/>
      <c r="F314" s="211"/>
      <c r="G314" s="211"/>
      <c r="H314" s="211"/>
    </row>
    <row r="315" spans="2:8" ht="15.75" customHeight="1" x14ac:dyDescent="0.2">
      <c r="B315" s="211"/>
      <c r="C315" s="211"/>
      <c r="D315" s="211"/>
      <c r="E315" s="211"/>
      <c r="F315" s="211"/>
      <c r="G315" s="211"/>
      <c r="H315" s="211"/>
    </row>
    <row r="316" spans="2:8" ht="15.75" customHeight="1" x14ac:dyDescent="0.2">
      <c r="B316" s="211"/>
      <c r="C316" s="211"/>
      <c r="D316" s="211"/>
      <c r="E316" s="211"/>
      <c r="F316" s="211"/>
      <c r="G316" s="211"/>
      <c r="H316" s="211"/>
    </row>
    <row r="317" spans="2:8" ht="15.75" customHeight="1" x14ac:dyDescent="0.2">
      <c r="B317" s="211"/>
      <c r="C317" s="211"/>
      <c r="D317" s="211"/>
      <c r="E317" s="211"/>
      <c r="F317" s="211"/>
      <c r="G317" s="211"/>
      <c r="H317" s="211"/>
    </row>
    <row r="318" spans="2:8" ht="15.75" customHeight="1" x14ac:dyDescent="0.2">
      <c r="B318" s="211"/>
      <c r="C318" s="211"/>
      <c r="D318" s="211"/>
      <c r="E318" s="211"/>
      <c r="F318" s="211"/>
      <c r="G318" s="211"/>
      <c r="H318" s="211"/>
    </row>
    <row r="319" spans="2:8" ht="15.75" customHeight="1" x14ac:dyDescent="0.2">
      <c r="B319" s="211"/>
      <c r="C319" s="211"/>
      <c r="D319" s="211"/>
      <c r="E319" s="211"/>
      <c r="F319" s="211"/>
      <c r="G319" s="211"/>
      <c r="H319" s="211"/>
    </row>
    <row r="320" spans="2:8" ht="15.75" customHeight="1" x14ac:dyDescent="0.2">
      <c r="B320" s="211"/>
      <c r="C320" s="211"/>
      <c r="D320" s="211"/>
      <c r="E320" s="211"/>
      <c r="F320" s="211"/>
      <c r="G320" s="211"/>
      <c r="H320" s="211"/>
    </row>
    <row r="321" spans="2:8" ht="15.75" customHeight="1" x14ac:dyDescent="0.2">
      <c r="B321" s="211"/>
      <c r="C321" s="211"/>
      <c r="D321" s="211"/>
      <c r="E321" s="211"/>
      <c r="F321" s="211"/>
      <c r="G321" s="211"/>
      <c r="H321" s="211"/>
    </row>
    <row r="322" spans="2:8" ht="15.75" customHeight="1" x14ac:dyDescent="0.2">
      <c r="B322" s="211"/>
      <c r="C322" s="211"/>
      <c r="D322" s="211"/>
      <c r="E322" s="211"/>
      <c r="F322" s="211"/>
      <c r="G322" s="211"/>
      <c r="H322" s="211"/>
    </row>
    <row r="323" spans="2:8" ht="15.75" customHeight="1" x14ac:dyDescent="0.2">
      <c r="B323" s="211"/>
      <c r="C323" s="211"/>
      <c r="D323" s="211"/>
      <c r="E323" s="211"/>
      <c r="F323" s="211"/>
      <c r="G323" s="211"/>
      <c r="H323" s="211"/>
    </row>
    <row r="324" spans="2:8" ht="15.75" customHeight="1" x14ac:dyDescent="0.2">
      <c r="B324" s="211"/>
      <c r="C324" s="211"/>
      <c r="D324" s="211"/>
      <c r="E324" s="211"/>
      <c r="F324" s="211"/>
      <c r="G324" s="211"/>
      <c r="H324" s="211"/>
    </row>
    <row r="325" spans="2:8" ht="15.75" customHeight="1" x14ac:dyDescent="0.2">
      <c r="B325" s="211"/>
      <c r="C325" s="211"/>
      <c r="D325" s="211"/>
      <c r="E325" s="211"/>
      <c r="F325" s="211"/>
      <c r="G325" s="211"/>
      <c r="H325" s="211"/>
    </row>
    <row r="326" spans="2:8" ht="15.75" customHeight="1" x14ac:dyDescent="0.2">
      <c r="B326" s="211"/>
      <c r="C326" s="211"/>
      <c r="D326" s="211"/>
      <c r="E326" s="211"/>
      <c r="F326" s="211"/>
      <c r="G326" s="211"/>
      <c r="H326" s="211"/>
    </row>
    <row r="327" spans="2:8" ht="15.75" customHeight="1" x14ac:dyDescent="0.2">
      <c r="B327" s="211"/>
      <c r="C327" s="211"/>
      <c r="D327" s="211"/>
      <c r="E327" s="211"/>
      <c r="F327" s="211"/>
      <c r="G327" s="211"/>
      <c r="H327" s="211"/>
    </row>
    <row r="328" spans="2:8" ht="15.75" customHeight="1" x14ac:dyDescent="0.2">
      <c r="B328" s="211"/>
      <c r="C328" s="211"/>
      <c r="D328" s="211"/>
      <c r="E328" s="211"/>
      <c r="F328" s="211"/>
      <c r="G328" s="211"/>
      <c r="H328" s="211"/>
    </row>
    <row r="329" spans="2:8" ht="15.75" customHeight="1" x14ac:dyDescent="0.2">
      <c r="B329" s="211"/>
      <c r="C329" s="211"/>
      <c r="D329" s="211"/>
      <c r="E329" s="211"/>
      <c r="F329" s="211"/>
      <c r="G329" s="211"/>
      <c r="H329" s="211"/>
    </row>
    <row r="330" spans="2:8" ht="15.75" customHeight="1" x14ac:dyDescent="0.2">
      <c r="B330" s="211"/>
      <c r="C330" s="211"/>
      <c r="D330" s="211"/>
      <c r="E330" s="211"/>
      <c r="F330" s="211"/>
      <c r="G330" s="211"/>
      <c r="H330" s="211"/>
    </row>
    <row r="331" spans="2:8" ht="15.75" customHeight="1" x14ac:dyDescent="0.2">
      <c r="B331" s="211"/>
      <c r="C331" s="211"/>
      <c r="D331" s="211"/>
      <c r="E331" s="211"/>
      <c r="F331" s="211"/>
      <c r="G331" s="211"/>
      <c r="H331" s="211"/>
    </row>
    <row r="332" spans="2:8" ht="15.75" customHeight="1" x14ac:dyDescent="0.2">
      <c r="B332" s="211"/>
      <c r="C332" s="211"/>
      <c r="D332" s="211"/>
      <c r="E332" s="211"/>
      <c r="F332" s="211"/>
      <c r="G332" s="211"/>
      <c r="H332" s="211"/>
    </row>
    <row r="333" spans="2:8" ht="15.75" customHeight="1" x14ac:dyDescent="0.2">
      <c r="B333" s="211"/>
      <c r="C333" s="211"/>
      <c r="D333" s="211"/>
      <c r="E333" s="211"/>
      <c r="F333" s="211"/>
      <c r="G333" s="211"/>
      <c r="H333" s="211"/>
    </row>
    <row r="334" spans="2:8" ht="15.75" customHeight="1" x14ac:dyDescent="0.2">
      <c r="B334" s="211"/>
      <c r="C334" s="211"/>
      <c r="D334" s="211"/>
      <c r="E334" s="211"/>
      <c r="F334" s="211"/>
      <c r="G334" s="211"/>
      <c r="H334" s="211"/>
    </row>
    <row r="335" spans="2:8" ht="15.75" customHeight="1" x14ac:dyDescent="0.2">
      <c r="B335" s="211"/>
      <c r="C335" s="211"/>
      <c r="D335" s="211"/>
      <c r="E335" s="211"/>
      <c r="F335" s="211"/>
      <c r="G335" s="211"/>
      <c r="H335" s="211"/>
    </row>
    <row r="336" spans="2:8" ht="15.75" customHeight="1" x14ac:dyDescent="0.2">
      <c r="B336" s="211"/>
      <c r="C336" s="211"/>
      <c r="D336" s="211"/>
      <c r="E336" s="211"/>
      <c r="F336" s="211"/>
      <c r="G336" s="211"/>
      <c r="H336" s="211"/>
    </row>
    <row r="337" spans="2:8" ht="15.75" customHeight="1" x14ac:dyDescent="0.2">
      <c r="B337" s="211"/>
      <c r="C337" s="211"/>
      <c r="D337" s="211"/>
      <c r="E337" s="211"/>
      <c r="F337" s="211"/>
      <c r="G337" s="211"/>
      <c r="H337" s="211"/>
    </row>
    <row r="338" spans="2:8" ht="15.75" customHeight="1" x14ac:dyDescent="0.2">
      <c r="B338" s="211"/>
      <c r="C338" s="211"/>
      <c r="D338" s="211"/>
      <c r="E338" s="211"/>
      <c r="F338" s="211"/>
      <c r="G338" s="211"/>
      <c r="H338" s="211"/>
    </row>
    <row r="339" spans="2:8" ht="15.75" customHeight="1" x14ac:dyDescent="0.2">
      <c r="B339" s="211"/>
      <c r="C339" s="211"/>
      <c r="D339" s="211"/>
      <c r="E339" s="211"/>
      <c r="F339" s="211"/>
      <c r="G339" s="211"/>
      <c r="H339" s="211"/>
    </row>
    <row r="340" spans="2:8" ht="15.75" customHeight="1" x14ac:dyDescent="0.2">
      <c r="B340" s="211"/>
      <c r="C340" s="211"/>
      <c r="D340" s="211"/>
      <c r="E340" s="211"/>
      <c r="F340" s="211"/>
      <c r="G340" s="211"/>
      <c r="H340" s="211"/>
    </row>
    <row r="341" spans="2:8" ht="15.75" customHeight="1" x14ac:dyDescent="0.2">
      <c r="B341" s="211"/>
      <c r="C341" s="211"/>
      <c r="D341" s="211"/>
      <c r="E341" s="211"/>
      <c r="F341" s="211"/>
      <c r="G341" s="211"/>
      <c r="H341" s="211"/>
    </row>
    <row r="342" spans="2:8" ht="15.75" customHeight="1" x14ac:dyDescent="0.2">
      <c r="B342" s="211"/>
      <c r="C342" s="211"/>
      <c r="D342" s="211"/>
      <c r="E342" s="211"/>
      <c r="F342" s="211"/>
      <c r="G342" s="211"/>
      <c r="H342" s="211"/>
    </row>
    <row r="343" spans="2:8" ht="15.75" customHeight="1" x14ac:dyDescent="0.2">
      <c r="B343" s="211"/>
      <c r="C343" s="211"/>
      <c r="D343" s="211"/>
      <c r="E343" s="211"/>
      <c r="F343" s="211"/>
      <c r="G343" s="211"/>
      <c r="H343" s="211"/>
    </row>
    <row r="344" spans="2:8" ht="15.75" customHeight="1" x14ac:dyDescent="0.2">
      <c r="B344" s="211"/>
      <c r="C344" s="211"/>
      <c r="D344" s="211"/>
      <c r="E344" s="211"/>
      <c r="F344" s="211"/>
      <c r="G344" s="211"/>
      <c r="H344" s="211"/>
    </row>
    <row r="345" spans="2:8" ht="15.75" customHeight="1" x14ac:dyDescent="0.2">
      <c r="B345" s="211"/>
      <c r="C345" s="211"/>
      <c r="D345" s="211"/>
      <c r="E345" s="211"/>
      <c r="F345" s="211"/>
      <c r="G345" s="211"/>
      <c r="H345" s="211"/>
    </row>
    <row r="346" spans="2:8" ht="15.75" customHeight="1" x14ac:dyDescent="0.2">
      <c r="B346" s="211"/>
      <c r="C346" s="211"/>
      <c r="D346" s="211"/>
      <c r="E346" s="211"/>
      <c r="F346" s="211"/>
      <c r="G346" s="211"/>
      <c r="H346" s="211"/>
    </row>
    <row r="347" spans="2:8" ht="15.75" customHeight="1" x14ac:dyDescent="0.2">
      <c r="B347" s="211"/>
      <c r="C347" s="211"/>
      <c r="D347" s="211"/>
      <c r="E347" s="211"/>
      <c r="F347" s="211"/>
      <c r="G347" s="211"/>
      <c r="H347" s="211"/>
    </row>
    <row r="348" spans="2:8" ht="15.75" customHeight="1" x14ac:dyDescent="0.2">
      <c r="B348" s="211"/>
      <c r="C348" s="211"/>
      <c r="D348" s="211"/>
      <c r="E348" s="211"/>
      <c r="F348" s="211"/>
      <c r="G348" s="211"/>
      <c r="H348" s="211"/>
    </row>
    <row r="349" spans="2:8" ht="15.75" customHeight="1" x14ac:dyDescent="0.2">
      <c r="B349" s="211"/>
      <c r="C349" s="211"/>
      <c r="D349" s="211"/>
      <c r="E349" s="211"/>
      <c r="F349" s="211"/>
      <c r="G349" s="211"/>
      <c r="H349" s="211"/>
    </row>
    <row r="350" spans="2:8" ht="15.75" customHeight="1" x14ac:dyDescent="0.2">
      <c r="B350" s="211"/>
      <c r="C350" s="211"/>
      <c r="D350" s="211"/>
      <c r="E350" s="211"/>
      <c r="F350" s="211"/>
      <c r="G350" s="211"/>
      <c r="H350" s="211"/>
    </row>
    <row r="351" spans="2:8" ht="15.75" customHeight="1" x14ac:dyDescent="0.2">
      <c r="B351" s="211"/>
      <c r="C351" s="211"/>
      <c r="D351" s="211"/>
      <c r="E351" s="211"/>
      <c r="F351" s="211"/>
      <c r="G351" s="211"/>
      <c r="H351" s="211"/>
    </row>
    <row r="352" spans="2:8" ht="15.75" customHeight="1" x14ac:dyDescent="0.2">
      <c r="B352" s="211"/>
      <c r="C352" s="211"/>
      <c r="D352" s="211"/>
      <c r="E352" s="211"/>
      <c r="F352" s="211"/>
      <c r="G352" s="211"/>
      <c r="H352" s="211"/>
    </row>
    <row r="353" spans="2:8" ht="15.75" customHeight="1" x14ac:dyDescent="0.2">
      <c r="B353" s="211"/>
      <c r="C353" s="211"/>
      <c r="D353" s="211"/>
      <c r="E353" s="211"/>
      <c r="F353" s="211"/>
      <c r="G353" s="211"/>
      <c r="H353" s="211"/>
    </row>
    <row r="354" spans="2:8" ht="15.75" customHeight="1" x14ac:dyDescent="0.2">
      <c r="B354" s="211"/>
      <c r="C354" s="211"/>
      <c r="D354" s="211"/>
      <c r="E354" s="211"/>
      <c r="F354" s="211"/>
      <c r="G354" s="211"/>
      <c r="H354" s="211"/>
    </row>
    <row r="355" spans="2:8" ht="15.75" customHeight="1" x14ac:dyDescent="0.2">
      <c r="B355" s="211"/>
      <c r="C355" s="211"/>
      <c r="D355" s="211"/>
      <c r="E355" s="211"/>
      <c r="F355" s="211"/>
      <c r="G355" s="211"/>
      <c r="H355" s="211"/>
    </row>
    <row r="356" spans="2:8" ht="15.75" customHeight="1" x14ac:dyDescent="0.2">
      <c r="B356" s="211"/>
      <c r="C356" s="211"/>
      <c r="D356" s="211"/>
      <c r="E356" s="211"/>
      <c r="F356" s="211"/>
      <c r="G356" s="211"/>
      <c r="H356" s="211"/>
    </row>
    <row r="357" spans="2:8" ht="15.75" customHeight="1" x14ac:dyDescent="0.2">
      <c r="B357" s="211"/>
      <c r="C357" s="211"/>
      <c r="D357" s="211"/>
      <c r="E357" s="211"/>
      <c r="F357" s="211"/>
      <c r="G357" s="211"/>
      <c r="H357" s="211"/>
    </row>
    <row r="358" spans="2:8" ht="15.75" customHeight="1" x14ac:dyDescent="0.2">
      <c r="B358" s="211"/>
      <c r="C358" s="211"/>
      <c r="D358" s="211"/>
      <c r="E358" s="211"/>
      <c r="F358" s="211"/>
      <c r="G358" s="211"/>
      <c r="H358" s="211"/>
    </row>
    <row r="359" spans="2:8" ht="15.75" customHeight="1" x14ac:dyDescent="0.2">
      <c r="B359" s="211"/>
      <c r="C359" s="211"/>
      <c r="D359" s="211"/>
      <c r="E359" s="211"/>
      <c r="F359" s="211"/>
      <c r="G359" s="211"/>
      <c r="H359" s="211"/>
    </row>
    <row r="360" spans="2:8" ht="15.75" customHeight="1" x14ac:dyDescent="0.2">
      <c r="B360" s="211"/>
      <c r="C360" s="211"/>
      <c r="D360" s="211"/>
      <c r="E360" s="211"/>
      <c r="F360" s="211"/>
      <c r="G360" s="211"/>
      <c r="H360" s="211"/>
    </row>
    <row r="361" spans="2:8" ht="15.75" customHeight="1" x14ac:dyDescent="0.2">
      <c r="B361" s="211"/>
      <c r="C361" s="211"/>
      <c r="D361" s="211"/>
      <c r="E361" s="211"/>
      <c r="F361" s="211"/>
      <c r="G361" s="211"/>
      <c r="H361" s="211"/>
    </row>
    <row r="362" spans="2:8" ht="15.75" customHeight="1" x14ac:dyDescent="0.2">
      <c r="B362" s="211"/>
      <c r="C362" s="211"/>
      <c r="D362" s="211"/>
      <c r="E362" s="211"/>
      <c r="F362" s="211"/>
      <c r="G362" s="211"/>
      <c r="H362" s="211"/>
    </row>
    <row r="363" spans="2:8" ht="15.75" customHeight="1" x14ac:dyDescent="0.2">
      <c r="B363" s="211"/>
      <c r="C363" s="211"/>
      <c r="D363" s="211"/>
      <c r="E363" s="211"/>
      <c r="F363" s="211"/>
      <c r="G363" s="211"/>
      <c r="H363" s="211"/>
    </row>
    <row r="364" spans="2:8" ht="15.75" customHeight="1" x14ac:dyDescent="0.2">
      <c r="B364" s="211"/>
      <c r="C364" s="211"/>
      <c r="D364" s="211"/>
      <c r="E364" s="211"/>
      <c r="F364" s="211"/>
      <c r="G364" s="211"/>
      <c r="H364" s="211"/>
    </row>
    <row r="365" spans="2:8" ht="15.75" customHeight="1" x14ac:dyDescent="0.2">
      <c r="B365" s="211"/>
      <c r="C365" s="211"/>
      <c r="D365" s="211"/>
      <c r="E365" s="211"/>
      <c r="F365" s="211"/>
      <c r="G365" s="211"/>
      <c r="H365" s="211"/>
    </row>
    <row r="366" spans="2:8" ht="15.75" customHeight="1" x14ac:dyDescent="0.2">
      <c r="B366" s="211"/>
      <c r="C366" s="211"/>
      <c r="D366" s="211"/>
      <c r="E366" s="211"/>
      <c r="F366" s="211"/>
      <c r="G366" s="211"/>
      <c r="H366" s="211"/>
    </row>
    <row r="367" spans="2:8" ht="15.75" customHeight="1" x14ac:dyDescent="0.2">
      <c r="B367" s="211"/>
      <c r="C367" s="211"/>
      <c r="D367" s="211"/>
      <c r="E367" s="211"/>
      <c r="F367" s="211"/>
      <c r="G367" s="211"/>
      <c r="H367" s="211"/>
    </row>
    <row r="368" spans="2:8" ht="15.75" customHeight="1" x14ac:dyDescent="0.2">
      <c r="B368" s="211"/>
      <c r="C368" s="211"/>
      <c r="D368" s="211"/>
      <c r="E368" s="211"/>
      <c r="F368" s="211"/>
      <c r="G368" s="211"/>
      <c r="H368" s="211"/>
    </row>
    <row r="369" spans="2:8" ht="15.75" customHeight="1" x14ac:dyDescent="0.2">
      <c r="B369" s="211"/>
      <c r="C369" s="211"/>
      <c r="D369" s="211"/>
      <c r="E369" s="211"/>
      <c r="F369" s="211"/>
      <c r="G369" s="211"/>
      <c r="H369" s="211"/>
    </row>
    <row r="370" spans="2:8" ht="15.75" customHeight="1" x14ac:dyDescent="0.2">
      <c r="B370" s="211"/>
      <c r="C370" s="211"/>
      <c r="D370" s="211"/>
      <c r="E370" s="211"/>
      <c r="F370" s="211"/>
      <c r="G370" s="211"/>
      <c r="H370" s="211"/>
    </row>
    <row r="371" spans="2:8" ht="15.75" customHeight="1" x14ac:dyDescent="0.2">
      <c r="B371" s="211"/>
      <c r="C371" s="211"/>
      <c r="D371" s="211"/>
      <c r="E371" s="211"/>
      <c r="F371" s="211"/>
      <c r="G371" s="211"/>
      <c r="H371" s="211"/>
    </row>
    <row r="372" spans="2:8" ht="15.75" customHeight="1" x14ac:dyDescent="0.2">
      <c r="B372" s="211"/>
      <c r="C372" s="211"/>
      <c r="D372" s="211"/>
      <c r="E372" s="211"/>
      <c r="F372" s="211"/>
      <c r="G372" s="211"/>
      <c r="H372" s="211"/>
    </row>
    <row r="373" spans="2:8" ht="15.75" customHeight="1" x14ac:dyDescent="0.2">
      <c r="B373" s="211"/>
      <c r="C373" s="211"/>
      <c r="D373" s="211"/>
      <c r="E373" s="211"/>
      <c r="F373" s="211"/>
      <c r="G373" s="211"/>
      <c r="H373" s="211"/>
    </row>
    <row r="374" spans="2:8" ht="15.75" customHeight="1" x14ac:dyDescent="0.2">
      <c r="B374" s="211"/>
      <c r="C374" s="211"/>
      <c r="D374" s="211"/>
      <c r="E374" s="211"/>
      <c r="F374" s="211"/>
      <c r="G374" s="211"/>
      <c r="H374" s="211"/>
    </row>
    <row r="375" spans="2:8" ht="15.75" customHeight="1" x14ac:dyDescent="0.2">
      <c r="B375" s="211"/>
      <c r="C375" s="211"/>
      <c r="D375" s="211"/>
      <c r="E375" s="211"/>
      <c r="F375" s="211"/>
      <c r="G375" s="211"/>
      <c r="H375" s="211"/>
    </row>
    <row r="376" spans="2:8" ht="15.75" customHeight="1" x14ac:dyDescent="0.2">
      <c r="B376" s="211"/>
      <c r="C376" s="211"/>
      <c r="D376" s="211"/>
      <c r="E376" s="211"/>
      <c r="F376" s="211"/>
      <c r="G376" s="211"/>
      <c r="H376" s="211"/>
    </row>
    <row r="377" spans="2:8" ht="15.75" customHeight="1" x14ac:dyDescent="0.2">
      <c r="B377" s="211"/>
      <c r="C377" s="211"/>
      <c r="D377" s="211"/>
      <c r="E377" s="211"/>
      <c r="F377" s="211"/>
      <c r="G377" s="211"/>
      <c r="H377" s="211"/>
    </row>
    <row r="378" spans="2:8" ht="15.75" customHeight="1" x14ac:dyDescent="0.2">
      <c r="B378" s="211"/>
      <c r="C378" s="211"/>
      <c r="D378" s="211"/>
      <c r="E378" s="211"/>
      <c r="F378" s="211"/>
      <c r="G378" s="211"/>
      <c r="H378" s="211"/>
    </row>
    <row r="379" spans="2:8" ht="15.75" customHeight="1" x14ac:dyDescent="0.2">
      <c r="B379" s="211"/>
      <c r="C379" s="211"/>
      <c r="D379" s="211"/>
      <c r="E379" s="211"/>
      <c r="F379" s="211"/>
      <c r="G379" s="211"/>
      <c r="H379" s="211"/>
    </row>
    <row r="380" spans="2:8" ht="15.75" customHeight="1" x14ac:dyDescent="0.2">
      <c r="B380" s="211"/>
      <c r="C380" s="211"/>
      <c r="D380" s="211"/>
      <c r="E380" s="211"/>
      <c r="F380" s="211"/>
      <c r="G380" s="211"/>
      <c r="H380" s="211"/>
    </row>
    <row r="381" spans="2:8" ht="15.75" customHeight="1" x14ac:dyDescent="0.2">
      <c r="B381" s="211"/>
      <c r="C381" s="211"/>
      <c r="D381" s="211"/>
      <c r="E381" s="211"/>
      <c r="F381" s="211"/>
      <c r="G381" s="211"/>
      <c r="H381" s="211"/>
    </row>
    <row r="382" spans="2:8" ht="15.75" customHeight="1" x14ac:dyDescent="0.2">
      <c r="B382" s="211"/>
      <c r="C382" s="211"/>
      <c r="D382" s="211"/>
      <c r="E382" s="211"/>
      <c r="F382" s="211"/>
      <c r="G382" s="211"/>
      <c r="H382" s="211"/>
    </row>
    <row r="383" spans="2:8" ht="15.75" customHeight="1" x14ac:dyDescent="0.2">
      <c r="B383" s="211"/>
      <c r="C383" s="211"/>
      <c r="D383" s="211"/>
      <c r="E383" s="211"/>
      <c r="F383" s="211"/>
      <c r="G383" s="211"/>
      <c r="H383" s="211"/>
    </row>
    <row r="384" spans="2:8" ht="15.75" customHeight="1" x14ac:dyDescent="0.2">
      <c r="B384" s="211"/>
      <c r="C384" s="211"/>
      <c r="D384" s="211"/>
      <c r="E384" s="211"/>
      <c r="F384" s="211"/>
      <c r="G384" s="211"/>
      <c r="H384" s="211"/>
    </row>
    <row r="385" spans="2:8" ht="15.75" customHeight="1" x14ac:dyDescent="0.2">
      <c r="B385" s="211"/>
      <c r="C385" s="211"/>
      <c r="D385" s="211"/>
      <c r="E385" s="211"/>
      <c r="F385" s="211"/>
      <c r="G385" s="211"/>
      <c r="H385" s="211"/>
    </row>
    <row r="386" spans="2:8" ht="15.75" customHeight="1" x14ac:dyDescent="0.2">
      <c r="B386" s="211"/>
      <c r="C386" s="211"/>
      <c r="D386" s="211"/>
      <c r="E386" s="211"/>
      <c r="F386" s="211"/>
      <c r="G386" s="211"/>
      <c r="H386" s="211"/>
    </row>
    <row r="387" spans="2:8" ht="15.75" customHeight="1" x14ac:dyDescent="0.2">
      <c r="B387" s="211"/>
      <c r="C387" s="211"/>
      <c r="D387" s="211"/>
      <c r="E387" s="211"/>
      <c r="F387" s="211"/>
      <c r="G387" s="211"/>
      <c r="H387" s="211"/>
    </row>
    <row r="388" spans="2:8" ht="15.75" customHeight="1" x14ac:dyDescent="0.2">
      <c r="B388" s="211"/>
      <c r="C388" s="211"/>
      <c r="D388" s="211"/>
      <c r="E388" s="211"/>
      <c r="F388" s="211"/>
      <c r="G388" s="211"/>
      <c r="H388" s="211"/>
    </row>
    <row r="389" spans="2:8" ht="15.75" customHeight="1" x14ac:dyDescent="0.2">
      <c r="B389" s="211"/>
      <c r="C389" s="211"/>
      <c r="D389" s="211"/>
      <c r="E389" s="211"/>
      <c r="F389" s="211"/>
      <c r="G389" s="211"/>
      <c r="H389" s="211"/>
    </row>
    <row r="390" spans="2:8" ht="15.75" customHeight="1" x14ac:dyDescent="0.2">
      <c r="B390" s="211"/>
      <c r="C390" s="211"/>
      <c r="D390" s="211"/>
      <c r="E390" s="211"/>
      <c r="F390" s="211"/>
      <c r="G390" s="211"/>
      <c r="H390" s="211"/>
    </row>
    <row r="391" spans="2:8" ht="15.75" customHeight="1" x14ac:dyDescent="0.2">
      <c r="B391" s="211"/>
      <c r="C391" s="211"/>
      <c r="D391" s="211"/>
      <c r="E391" s="211"/>
      <c r="F391" s="211"/>
      <c r="G391" s="211"/>
      <c r="H391" s="211"/>
    </row>
    <row r="392" spans="2:8" ht="15.75" customHeight="1" x14ac:dyDescent="0.2">
      <c r="B392" s="211"/>
      <c r="C392" s="211"/>
      <c r="D392" s="211"/>
      <c r="E392" s="211"/>
      <c r="F392" s="211"/>
      <c r="G392" s="211"/>
      <c r="H392" s="211"/>
    </row>
    <row r="393" spans="2:8" ht="15.75" customHeight="1" x14ac:dyDescent="0.2">
      <c r="B393" s="211"/>
      <c r="C393" s="211"/>
      <c r="D393" s="211"/>
      <c r="E393" s="211"/>
      <c r="F393" s="211"/>
      <c r="G393" s="211"/>
      <c r="H393" s="211"/>
    </row>
    <row r="394" spans="2:8" ht="15.75" customHeight="1" x14ac:dyDescent="0.2">
      <c r="B394" s="211"/>
      <c r="C394" s="211"/>
      <c r="D394" s="211"/>
      <c r="E394" s="211"/>
      <c r="F394" s="211"/>
      <c r="G394" s="211"/>
      <c r="H394" s="211"/>
    </row>
    <row r="395" spans="2:8" ht="15.75" customHeight="1" x14ac:dyDescent="0.2">
      <c r="B395" s="211"/>
      <c r="C395" s="211"/>
      <c r="D395" s="211"/>
      <c r="E395" s="211"/>
      <c r="F395" s="211"/>
      <c r="G395" s="211"/>
      <c r="H395" s="211"/>
    </row>
    <row r="396" spans="2:8" ht="15.75" customHeight="1" x14ac:dyDescent="0.2">
      <c r="B396" s="211"/>
      <c r="C396" s="211"/>
      <c r="D396" s="211"/>
      <c r="E396" s="211"/>
      <c r="F396" s="211"/>
      <c r="G396" s="211"/>
      <c r="H396" s="211"/>
    </row>
    <row r="397" spans="2:8" ht="15.75" customHeight="1" x14ac:dyDescent="0.2">
      <c r="B397" s="211"/>
      <c r="C397" s="211"/>
      <c r="D397" s="211"/>
      <c r="E397" s="211"/>
      <c r="F397" s="211"/>
      <c r="G397" s="211"/>
      <c r="H397" s="211"/>
    </row>
    <row r="398" spans="2:8" ht="15.75" customHeight="1" x14ac:dyDescent="0.2">
      <c r="B398" s="211"/>
      <c r="C398" s="211"/>
      <c r="D398" s="211"/>
      <c r="E398" s="211"/>
      <c r="F398" s="211"/>
      <c r="G398" s="211"/>
      <c r="H398" s="211"/>
    </row>
    <row r="399" spans="2:8" ht="15.75" customHeight="1" x14ac:dyDescent="0.2">
      <c r="B399" s="211"/>
      <c r="C399" s="211"/>
      <c r="D399" s="211"/>
      <c r="E399" s="211"/>
      <c r="F399" s="211"/>
      <c r="G399" s="211"/>
      <c r="H399" s="211"/>
    </row>
    <row r="400" spans="2:8" ht="15.75" customHeight="1" x14ac:dyDescent="0.2">
      <c r="B400" s="211"/>
      <c r="C400" s="211"/>
      <c r="D400" s="211"/>
      <c r="E400" s="211"/>
      <c r="F400" s="211"/>
      <c r="G400" s="211"/>
      <c r="H400" s="211"/>
    </row>
    <row r="401" spans="2:8" ht="15.75" customHeight="1" x14ac:dyDescent="0.2">
      <c r="B401" s="211"/>
      <c r="C401" s="211"/>
      <c r="D401" s="211"/>
      <c r="E401" s="211"/>
      <c r="F401" s="211"/>
      <c r="G401" s="211"/>
      <c r="H401" s="211"/>
    </row>
    <row r="402" spans="2:8" ht="15.75" customHeight="1" x14ac:dyDescent="0.2">
      <c r="B402" s="211"/>
      <c r="C402" s="211"/>
      <c r="D402" s="211"/>
      <c r="E402" s="211"/>
      <c r="F402" s="211"/>
      <c r="G402" s="211"/>
      <c r="H402" s="211"/>
    </row>
    <row r="403" spans="2:8" ht="15.75" customHeight="1" x14ac:dyDescent="0.2">
      <c r="B403" s="211"/>
      <c r="C403" s="211"/>
      <c r="D403" s="211"/>
      <c r="E403" s="211"/>
      <c r="F403" s="211"/>
      <c r="G403" s="211"/>
      <c r="H403" s="211"/>
    </row>
    <row r="404" spans="2:8" ht="15.75" customHeight="1" x14ac:dyDescent="0.2">
      <c r="B404" s="211"/>
      <c r="C404" s="211"/>
      <c r="D404" s="211"/>
      <c r="E404" s="211"/>
      <c r="F404" s="211"/>
      <c r="G404" s="211"/>
      <c r="H404" s="211"/>
    </row>
    <row r="405" spans="2:8" ht="15.75" customHeight="1" x14ac:dyDescent="0.2">
      <c r="B405" s="211"/>
      <c r="C405" s="211"/>
      <c r="D405" s="211"/>
      <c r="E405" s="211"/>
      <c r="F405" s="211"/>
      <c r="G405" s="211"/>
      <c r="H405" s="211"/>
    </row>
    <row r="406" spans="2:8" ht="15.75" customHeight="1" x14ac:dyDescent="0.2">
      <c r="B406" s="211"/>
      <c r="C406" s="211"/>
      <c r="D406" s="211"/>
      <c r="E406" s="211"/>
      <c r="F406" s="211"/>
      <c r="G406" s="211"/>
      <c r="H406" s="211"/>
    </row>
    <row r="407" spans="2:8" ht="15.75" customHeight="1" x14ac:dyDescent="0.2">
      <c r="B407" s="211"/>
      <c r="C407" s="211"/>
      <c r="D407" s="211"/>
      <c r="E407" s="211"/>
      <c r="F407" s="211"/>
      <c r="G407" s="211"/>
      <c r="H407" s="211"/>
    </row>
    <row r="408" spans="2:8" ht="15.75" customHeight="1" x14ac:dyDescent="0.2">
      <c r="B408" s="211"/>
      <c r="C408" s="211"/>
      <c r="D408" s="211"/>
      <c r="E408" s="211"/>
      <c r="F408" s="211"/>
      <c r="G408" s="211"/>
      <c r="H408" s="211"/>
    </row>
    <row r="409" spans="2:8" ht="15.75" customHeight="1" x14ac:dyDescent="0.2">
      <c r="B409" s="211"/>
      <c r="C409" s="211"/>
      <c r="D409" s="211"/>
      <c r="E409" s="211"/>
      <c r="F409" s="211"/>
      <c r="G409" s="211"/>
      <c r="H409" s="211"/>
    </row>
    <row r="410" spans="2:8" ht="15.75" customHeight="1" x14ac:dyDescent="0.2">
      <c r="B410" s="211"/>
      <c r="C410" s="211"/>
      <c r="D410" s="211"/>
      <c r="E410" s="211"/>
      <c r="F410" s="211"/>
      <c r="G410" s="211"/>
      <c r="H410" s="211"/>
    </row>
    <row r="411" spans="2:8" ht="15.75" customHeight="1" x14ac:dyDescent="0.2">
      <c r="B411" s="211"/>
      <c r="C411" s="211"/>
      <c r="D411" s="211"/>
      <c r="E411" s="211"/>
      <c r="F411" s="211"/>
      <c r="G411" s="211"/>
      <c r="H411" s="211"/>
    </row>
    <row r="412" spans="2:8" ht="15.75" customHeight="1" x14ac:dyDescent="0.2">
      <c r="B412" s="211"/>
      <c r="C412" s="211"/>
      <c r="D412" s="211"/>
      <c r="E412" s="211"/>
      <c r="F412" s="211"/>
      <c r="G412" s="211"/>
      <c r="H412" s="211"/>
    </row>
    <row r="413" spans="2:8" ht="15.75" customHeight="1" x14ac:dyDescent="0.2">
      <c r="B413" s="211"/>
      <c r="C413" s="211"/>
      <c r="D413" s="211"/>
      <c r="E413" s="211"/>
      <c r="F413" s="211"/>
      <c r="G413" s="211"/>
      <c r="H413" s="211"/>
    </row>
    <row r="414" spans="2:8" ht="15.75" customHeight="1" x14ac:dyDescent="0.2">
      <c r="B414" s="211"/>
      <c r="C414" s="211"/>
      <c r="D414" s="211"/>
      <c r="E414" s="211"/>
      <c r="F414" s="211"/>
      <c r="G414" s="211"/>
      <c r="H414" s="211"/>
    </row>
    <row r="415" spans="2:8" ht="15.75" customHeight="1" x14ac:dyDescent="0.2">
      <c r="B415" s="211"/>
      <c r="C415" s="211"/>
      <c r="D415" s="211"/>
      <c r="E415" s="211"/>
      <c r="F415" s="211"/>
      <c r="G415" s="211"/>
      <c r="H415" s="211"/>
    </row>
    <row r="416" spans="2:8" ht="15.75" customHeight="1" x14ac:dyDescent="0.2">
      <c r="B416" s="211"/>
      <c r="C416" s="211"/>
      <c r="D416" s="211"/>
      <c r="E416" s="211"/>
      <c r="F416" s="211"/>
      <c r="G416" s="211"/>
      <c r="H416" s="211"/>
    </row>
    <row r="417" spans="2:8" ht="15.75" customHeight="1" x14ac:dyDescent="0.2">
      <c r="B417" s="211"/>
      <c r="C417" s="211"/>
      <c r="D417" s="211"/>
      <c r="E417" s="211"/>
      <c r="F417" s="211"/>
      <c r="G417" s="211"/>
      <c r="H417" s="211"/>
    </row>
    <row r="418" spans="2:8" ht="15.75" customHeight="1" x14ac:dyDescent="0.2">
      <c r="B418" s="211"/>
      <c r="C418" s="211"/>
      <c r="D418" s="211"/>
      <c r="E418" s="211"/>
      <c r="F418" s="211"/>
      <c r="G418" s="211"/>
      <c r="H418" s="211"/>
    </row>
    <row r="419" spans="2:8" ht="15.75" customHeight="1" x14ac:dyDescent="0.2">
      <c r="B419" s="211"/>
      <c r="C419" s="211"/>
      <c r="D419" s="211"/>
      <c r="E419" s="211"/>
      <c r="F419" s="211"/>
      <c r="G419" s="211"/>
      <c r="H419" s="211"/>
    </row>
    <row r="420" spans="2:8" ht="15.75" customHeight="1" x14ac:dyDescent="0.2">
      <c r="B420" s="211"/>
      <c r="C420" s="211"/>
      <c r="D420" s="211"/>
      <c r="E420" s="211"/>
      <c r="F420" s="211"/>
      <c r="G420" s="211"/>
      <c r="H420" s="211"/>
    </row>
    <row r="421" spans="2:8" ht="15.75" customHeight="1" x14ac:dyDescent="0.2">
      <c r="B421" s="211"/>
      <c r="C421" s="211"/>
      <c r="D421" s="211"/>
      <c r="E421" s="211"/>
      <c r="F421" s="211"/>
      <c r="G421" s="211"/>
      <c r="H421" s="211"/>
    </row>
    <row r="422" spans="2:8" ht="15.75" customHeight="1" x14ac:dyDescent="0.2">
      <c r="B422" s="211"/>
      <c r="C422" s="211"/>
      <c r="D422" s="211"/>
      <c r="E422" s="211"/>
      <c r="F422" s="211"/>
      <c r="G422" s="211"/>
      <c r="H422" s="211"/>
    </row>
    <row r="423" spans="2:8" ht="15.75" customHeight="1" x14ac:dyDescent="0.2">
      <c r="B423" s="211"/>
      <c r="C423" s="211"/>
      <c r="D423" s="211"/>
      <c r="E423" s="211"/>
      <c r="F423" s="211"/>
      <c r="G423" s="211"/>
      <c r="H423" s="211"/>
    </row>
    <row r="424" spans="2:8" ht="15.75" customHeight="1" x14ac:dyDescent="0.2">
      <c r="B424" s="211"/>
      <c r="C424" s="211"/>
      <c r="D424" s="211"/>
      <c r="E424" s="211"/>
      <c r="F424" s="211"/>
      <c r="G424" s="211"/>
      <c r="H424" s="211"/>
    </row>
    <row r="425" spans="2:8" ht="15.75" customHeight="1" x14ac:dyDescent="0.2">
      <c r="B425" s="211"/>
      <c r="C425" s="211"/>
      <c r="D425" s="211"/>
      <c r="E425" s="211"/>
      <c r="F425" s="211"/>
      <c r="G425" s="211"/>
      <c r="H425" s="211"/>
    </row>
    <row r="426" spans="2:8" ht="15.75" customHeight="1" x14ac:dyDescent="0.2">
      <c r="B426" s="211"/>
      <c r="C426" s="211"/>
      <c r="D426" s="211"/>
      <c r="E426" s="211"/>
      <c r="F426" s="211"/>
      <c r="G426" s="211"/>
      <c r="H426" s="211"/>
    </row>
    <row r="427" spans="2:8" ht="15.75" customHeight="1" x14ac:dyDescent="0.2">
      <c r="B427" s="211"/>
      <c r="C427" s="211"/>
      <c r="D427" s="211"/>
      <c r="E427" s="211"/>
      <c r="F427" s="211"/>
      <c r="G427" s="211"/>
      <c r="H427" s="211"/>
    </row>
    <row r="428" spans="2:8" ht="15.75" customHeight="1" x14ac:dyDescent="0.2">
      <c r="B428" s="211"/>
      <c r="C428" s="211"/>
      <c r="D428" s="211"/>
      <c r="E428" s="211"/>
      <c r="F428" s="211"/>
      <c r="G428" s="211"/>
      <c r="H428" s="211"/>
    </row>
    <row r="429" spans="2:8" ht="15.75" customHeight="1" x14ac:dyDescent="0.2">
      <c r="B429" s="211"/>
      <c r="C429" s="211"/>
      <c r="D429" s="211"/>
      <c r="E429" s="211"/>
      <c r="F429" s="211"/>
      <c r="G429" s="211"/>
      <c r="H429" s="211"/>
    </row>
    <row r="430" spans="2:8" ht="15.75" customHeight="1" x14ac:dyDescent="0.2">
      <c r="B430" s="211"/>
      <c r="C430" s="211"/>
      <c r="D430" s="211"/>
      <c r="E430" s="211"/>
      <c r="F430" s="211"/>
      <c r="G430" s="211"/>
      <c r="H430" s="211"/>
    </row>
    <row r="431" spans="2:8" ht="15.75" customHeight="1" x14ac:dyDescent="0.2">
      <c r="B431" s="211"/>
      <c r="C431" s="211"/>
      <c r="D431" s="211"/>
      <c r="E431" s="211"/>
      <c r="F431" s="211"/>
      <c r="G431" s="211"/>
      <c r="H431" s="211"/>
    </row>
    <row r="432" spans="2:8" ht="15.75" customHeight="1" x14ac:dyDescent="0.2">
      <c r="B432" s="211"/>
      <c r="C432" s="211"/>
      <c r="D432" s="211"/>
      <c r="E432" s="211"/>
      <c r="F432" s="211"/>
      <c r="G432" s="211"/>
      <c r="H432" s="211"/>
    </row>
    <row r="433" spans="2:8" ht="15.75" customHeight="1" x14ac:dyDescent="0.2">
      <c r="B433" s="211"/>
      <c r="C433" s="211"/>
      <c r="D433" s="211"/>
      <c r="E433" s="211"/>
      <c r="F433" s="211"/>
      <c r="G433" s="211"/>
      <c r="H433" s="211"/>
    </row>
    <row r="434" spans="2:8" ht="15.75" customHeight="1" x14ac:dyDescent="0.2">
      <c r="B434" s="211"/>
      <c r="C434" s="211"/>
      <c r="D434" s="211"/>
      <c r="E434" s="211"/>
      <c r="F434" s="211"/>
      <c r="G434" s="211"/>
      <c r="H434" s="211"/>
    </row>
    <row r="435" spans="2:8" ht="15.75" customHeight="1" x14ac:dyDescent="0.2">
      <c r="B435" s="211"/>
      <c r="C435" s="211"/>
      <c r="D435" s="211"/>
      <c r="E435" s="211"/>
      <c r="F435" s="211"/>
      <c r="G435" s="211"/>
      <c r="H435" s="211"/>
    </row>
    <row r="436" spans="2:8" ht="15.75" customHeight="1" x14ac:dyDescent="0.2">
      <c r="B436" s="211"/>
      <c r="C436" s="211"/>
      <c r="D436" s="211"/>
      <c r="E436" s="211"/>
      <c r="F436" s="211"/>
      <c r="G436" s="211"/>
      <c r="H436" s="211"/>
    </row>
    <row r="437" spans="2:8" ht="15.75" customHeight="1" x14ac:dyDescent="0.2">
      <c r="B437" s="211"/>
      <c r="C437" s="211"/>
      <c r="D437" s="211"/>
      <c r="E437" s="211"/>
      <c r="F437" s="211"/>
      <c r="G437" s="211"/>
      <c r="H437" s="211"/>
    </row>
    <row r="438" spans="2:8" ht="15.75" customHeight="1" x14ac:dyDescent="0.2">
      <c r="B438" s="211"/>
      <c r="C438" s="211"/>
      <c r="D438" s="211"/>
      <c r="E438" s="211"/>
      <c r="F438" s="211"/>
      <c r="G438" s="211"/>
      <c r="H438" s="211"/>
    </row>
    <row r="439" spans="2:8" ht="15.75" customHeight="1" x14ac:dyDescent="0.2">
      <c r="B439" s="211"/>
      <c r="C439" s="211"/>
      <c r="D439" s="211"/>
      <c r="E439" s="211"/>
      <c r="F439" s="211"/>
      <c r="G439" s="211"/>
      <c r="H439" s="211"/>
    </row>
    <row r="440" spans="2:8" ht="15.75" customHeight="1" x14ac:dyDescent="0.2">
      <c r="B440" s="211"/>
      <c r="C440" s="211"/>
      <c r="D440" s="211"/>
      <c r="E440" s="211"/>
      <c r="F440" s="211"/>
      <c r="G440" s="211"/>
      <c r="H440" s="211"/>
    </row>
    <row r="441" spans="2:8" ht="15.75" customHeight="1" x14ac:dyDescent="0.2">
      <c r="B441" s="211"/>
      <c r="C441" s="211"/>
      <c r="D441" s="211"/>
      <c r="E441" s="211"/>
      <c r="F441" s="211"/>
      <c r="G441" s="211"/>
      <c r="H441" s="211"/>
    </row>
    <row r="442" spans="2:8" ht="15.75" customHeight="1" x14ac:dyDescent="0.2">
      <c r="B442" s="211"/>
      <c r="C442" s="211"/>
      <c r="D442" s="211"/>
      <c r="E442" s="211"/>
      <c r="F442" s="211"/>
      <c r="G442" s="211"/>
      <c r="H442" s="211"/>
    </row>
    <row r="443" spans="2:8" ht="15.75" customHeight="1" x14ac:dyDescent="0.2">
      <c r="B443" s="211"/>
      <c r="C443" s="211"/>
      <c r="D443" s="211"/>
      <c r="E443" s="211"/>
      <c r="F443" s="211"/>
      <c r="G443" s="211"/>
      <c r="H443" s="211"/>
    </row>
    <row r="444" spans="2:8" ht="15.75" customHeight="1" x14ac:dyDescent="0.2">
      <c r="B444" s="211"/>
      <c r="C444" s="211"/>
      <c r="D444" s="211"/>
      <c r="E444" s="211"/>
      <c r="F444" s="211"/>
      <c r="G444" s="211"/>
      <c r="H444" s="211"/>
    </row>
    <row r="445" spans="2:8" ht="15.75" customHeight="1" x14ac:dyDescent="0.2">
      <c r="B445" s="211"/>
      <c r="C445" s="211"/>
      <c r="D445" s="211"/>
      <c r="E445" s="211"/>
      <c r="F445" s="211"/>
      <c r="G445" s="211"/>
      <c r="H445" s="211"/>
    </row>
    <row r="446" spans="2:8" ht="15.75" customHeight="1" x14ac:dyDescent="0.2">
      <c r="B446" s="211"/>
      <c r="C446" s="211"/>
      <c r="D446" s="211"/>
      <c r="E446" s="211"/>
      <c r="F446" s="211"/>
      <c r="G446" s="211"/>
      <c r="H446" s="211"/>
    </row>
    <row r="447" spans="2:8" ht="15.75" customHeight="1" x14ac:dyDescent="0.2">
      <c r="B447" s="211"/>
      <c r="C447" s="211"/>
      <c r="D447" s="211"/>
      <c r="E447" s="211"/>
      <c r="F447" s="211"/>
      <c r="G447" s="211"/>
      <c r="H447" s="211"/>
    </row>
    <row r="448" spans="2:8" ht="15.75" customHeight="1" x14ac:dyDescent="0.2">
      <c r="B448" s="211"/>
      <c r="C448" s="211"/>
      <c r="D448" s="211"/>
      <c r="E448" s="211"/>
      <c r="F448" s="211"/>
      <c r="G448" s="211"/>
      <c r="H448" s="211"/>
    </row>
    <row r="449" spans="2:8" ht="15.75" customHeight="1" x14ac:dyDescent="0.2">
      <c r="B449" s="211"/>
      <c r="C449" s="211"/>
      <c r="D449" s="211"/>
      <c r="E449" s="211"/>
      <c r="F449" s="211"/>
      <c r="G449" s="211"/>
      <c r="H449" s="211"/>
    </row>
    <row r="450" spans="2:8" ht="15.75" customHeight="1" x14ac:dyDescent="0.2">
      <c r="B450" s="211"/>
      <c r="C450" s="211"/>
      <c r="D450" s="211"/>
      <c r="E450" s="211"/>
      <c r="F450" s="211"/>
      <c r="G450" s="211"/>
      <c r="H450" s="211"/>
    </row>
    <row r="451" spans="2:8" ht="15.75" customHeight="1" x14ac:dyDescent="0.2">
      <c r="B451" s="211"/>
      <c r="C451" s="211"/>
      <c r="D451" s="211"/>
      <c r="E451" s="211"/>
      <c r="F451" s="211"/>
      <c r="G451" s="211"/>
      <c r="H451" s="211"/>
    </row>
    <row r="452" spans="2:8" ht="15.75" customHeight="1" x14ac:dyDescent="0.2">
      <c r="B452" s="211"/>
      <c r="C452" s="211"/>
      <c r="D452" s="211"/>
      <c r="E452" s="211"/>
      <c r="F452" s="211"/>
      <c r="G452" s="211"/>
      <c r="H452" s="211"/>
    </row>
    <row r="453" spans="2:8" ht="15.75" customHeight="1" x14ac:dyDescent="0.2">
      <c r="B453" s="211"/>
      <c r="C453" s="211"/>
      <c r="D453" s="211"/>
      <c r="E453" s="211"/>
      <c r="F453" s="211"/>
      <c r="G453" s="211"/>
      <c r="H453" s="211"/>
    </row>
    <row r="454" spans="2:8" ht="15.75" customHeight="1" x14ac:dyDescent="0.2">
      <c r="B454" s="211"/>
      <c r="C454" s="211"/>
      <c r="D454" s="211"/>
      <c r="E454" s="211"/>
      <c r="F454" s="211"/>
      <c r="G454" s="211"/>
      <c r="H454" s="211"/>
    </row>
    <row r="455" spans="2:8" ht="15.75" customHeight="1" x14ac:dyDescent="0.2">
      <c r="B455" s="211"/>
      <c r="C455" s="211"/>
      <c r="D455" s="211"/>
      <c r="E455" s="211"/>
      <c r="F455" s="211"/>
      <c r="G455" s="211"/>
      <c r="H455" s="211"/>
    </row>
    <row r="456" spans="2:8" ht="15.75" customHeight="1" x14ac:dyDescent="0.2">
      <c r="B456" s="211"/>
      <c r="C456" s="211"/>
      <c r="D456" s="211"/>
      <c r="E456" s="211"/>
      <c r="F456" s="211"/>
      <c r="G456" s="211"/>
      <c r="H456" s="211"/>
    </row>
    <row r="457" spans="2:8" ht="15.75" customHeight="1" x14ac:dyDescent="0.2">
      <c r="B457" s="211"/>
      <c r="C457" s="211"/>
      <c r="D457" s="211"/>
      <c r="E457" s="211"/>
      <c r="F457" s="211"/>
      <c r="G457" s="211"/>
      <c r="H457" s="211"/>
    </row>
    <row r="458" spans="2:8" ht="15.75" customHeight="1" x14ac:dyDescent="0.2">
      <c r="B458" s="211"/>
      <c r="C458" s="211"/>
      <c r="D458" s="211"/>
      <c r="E458" s="211"/>
      <c r="F458" s="211"/>
      <c r="G458" s="211"/>
      <c r="H458" s="211"/>
    </row>
    <row r="459" spans="2:8" ht="15.75" customHeight="1" x14ac:dyDescent="0.2">
      <c r="B459" s="211"/>
      <c r="C459" s="211"/>
      <c r="D459" s="211"/>
      <c r="E459" s="211"/>
      <c r="F459" s="211"/>
      <c r="G459" s="211"/>
      <c r="H459" s="211"/>
    </row>
    <row r="460" spans="2:8" ht="15.75" customHeight="1" x14ac:dyDescent="0.2">
      <c r="B460" s="211"/>
      <c r="C460" s="211"/>
      <c r="D460" s="211"/>
      <c r="E460" s="211"/>
      <c r="F460" s="211"/>
      <c r="G460" s="211"/>
      <c r="H460" s="211"/>
    </row>
    <row r="461" spans="2:8" ht="15.75" customHeight="1" x14ac:dyDescent="0.2">
      <c r="B461" s="211"/>
      <c r="C461" s="211"/>
      <c r="D461" s="211"/>
      <c r="E461" s="211"/>
      <c r="F461" s="211"/>
      <c r="G461" s="211"/>
      <c r="H461" s="211"/>
    </row>
    <row r="462" spans="2:8" ht="15.75" customHeight="1" x14ac:dyDescent="0.2">
      <c r="B462" s="211"/>
      <c r="C462" s="211"/>
      <c r="D462" s="211"/>
      <c r="E462" s="211"/>
      <c r="F462" s="211"/>
      <c r="G462" s="211"/>
      <c r="H462" s="211"/>
    </row>
    <row r="463" spans="2:8" ht="15.75" customHeight="1" x14ac:dyDescent="0.2">
      <c r="B463" s="211"/>
      <c r="C463" s="211"/>
      <c r="D463" s="211"/>
      <c r="E463" s="211"/>
      <c r="F463" s="211"/>
      <c r="G463" s="211"/>
      <c r="H463" s="211"/>
    </row>
    <row r="464" spans="2:8" ht="15.75" customHeight="1" x14ac:dyDescent="0.2">
      <c r="B464" s="211"/>
      <c r="C464" s="211"/>
      <c r="D464" s="211"/>
      <c r="E464" s="211"/>
      <c r="F464" s="211"/>
      <c r="G464" s="211"/>
      <c r="H464" s="211"/>
    </row>
    <row r="465" spans="2:8" ht="15.75" customHeight="1" x14ac:dyDescent="0.2">
      <c r="B465" s="211"/>
      <c r="C465" s="211"/>
      <c r="D465" s="211"/>
      <c r="E465" s="211"/>
      <c r="F465" s="211"/>
      <c r="G465" s="211"/>
      <c r="H465" s="211"/>
    </row>
    <row r="466" spans="2:8" ht="15.75" customHeight="1" x14ac:dyDescent="0.2">
      <c r="B466" s="211"/>
      <c r="C466" s="211"/>
      <c r="D466" s="211"/>
      <c r="E466" s="211"/>
      <c r="F466" s="211"/>
      <c r="G466" s="211"/>
      <c r="H466" s="211"/>
    </row>
    <row r="467" spans="2:8" ht="15.75" customHeight="1" x14ac:dyDescent="0.2">
      <c r="B467" s="211"/>
      <c r="C467" s="211"/>
      <c r="D467" s="211"/>
      <c r="E467" s="211"/>
      <c r="F467" s="211"/>
      <c r="G467" s="211"/>
      <c r="H467" s="211"/>
    </row>
    <row r="468" spans="2:8" ht="15.75" customHeight="1" x14ac:dyDescent="0.2">
      <c r="B468" s="211"/>
      <c r="C468" s="211"/>
      <c r="D468" s="211"/>
      <c r="E468" s="211"/>
      <c r="F468" s="211"/>
      <c r="G468" s="211"/>
      <c r="H468" s="211"/>
    </row>
    <row r="469" spans="2:8" ht="15.75" customHeight="1" x14ac:dyDescent="0.2">
      <c r="B469" s="211"/>
      <c r="C469" s="211"/>
      <c r="D469" s="211"/>
      <c r="E469" s="211"/>
      <c r="F469" s="211"/>
      <c r="G469" s="211"/>
      <c r="H469" s="211"/>
    </row>
    <row r="470" spans="2:8" ht="15.75" customHeight="1" x14ac:dyDescent="0.2">
      <c r="B470" s="211"/>
      <c r="C470" s="211"/>
      <c r="D470" s="211"/>
      <c r="E470" s="211"/>
      <c r="F470" s="211"/>
      <c r="G470" s="211"/>
      <c r="H470" s="211"/>
    </row>
    <row r="471" spans="2:8" ht="15.75" customHeight="1" x14ac:dyDescent="0.2">
      <c r="B471" s="211"/>
      <c r="C471" s="211"/>
      <c r="D471" s="211"/>
      <c r="E471" s="211"/>
      <c r="F471" s="211"/>
      <c r="G471" s="211"/>
      <c r="H471" s="211"/>
    </row>
    <row r="472" spans="2:8" ht="15.75" customHeight="1" x14ac:dyDescent="0.2">
      <c r="B472" s="211"/>
      <c r="C472" s="211"/>
      <c r="D472" s="211"/>
      <c r="E472" s="211"/>
      <c r="F472" s="211"/>
      <c r="G472" s="211"/>
      <c r="H472" s="211"/>
    </row>
    <row r="473" spans="2:8" ht="15.75" customHeight="1" x14ac:dyDescent="0.2">
      <c r="B473" s="211"/>
      <c r="C473" s="211"/>
      <c r="D473" s="211"/>
      <c r="E473" s="211"/>
      <c r="F473" s="211"/>
      <c r="G473" s="211"/>
      <c r="H473" s="211"/>
    </row>
    <row r="474" spans="2:8" ht="15.75" customHeight="1" x14ac:dyDescent="0.2">
      <c r="B474" s="211"/>
      <c r="C474" s="211"/>
      <c r="D474" s="211"/>
      <c r="E474" s="211"/>
      <c r="F474" s="211"/>
      <c r="G474" s="211"/>
      <c r="H474" s="211"/>
    </row>
    <row r="475" spans="2:8" ht="15.75" customHeight="1" x14ac:dyDescent="0.2">
      <c r="B475" s="211"/>
      <c r="C475" s="211"/>
      <c r="D475" s="211"/>
      <c r="E475" s="211"/>
      <c r="F475" s="211"/>
      <c r="G475" s="211"/>
      <c r="H475" s="211"/>
    </row>
    <row r="476" spans="2:8" ht="15.75" customHeight="1" x14ac:dyDescent="0.2">
      <c r="B476" s="211"/>
      <c r="C476" s="211"/>
      <c r="D476" s="211"/>
      <c r="E476" s="211"/>
      <c r="F476" s="211"/>
      <c r="G476" s="211"/>
      <c r="H476" s="211"/>
    </row>
    <row r="477" spans="2:8" ht="15.75" customHeight="1" x14ac:dyDescent="0.2">
      <c r="B477" s="211"/>
      <c r="C477" s="211"/>
      <c r="D477" s="211"/>
      <c r="E477" s="211"/>
      <c r="F477" s="211"/>
      <c r="G477" s="211"/>
      <c r="H477" s="211"/>
    </row>
    <row r="478" spans="2:8" ht="15.75" customHeight="1" x14ac:dyDescent="0.2">
      <c r="B478" s="211"/>
      <c r="C478" s="211"/>
      <c r="D478" s="211"/>
      <c r="E478" s="211"/>
      <c r="F478" s="211"/>
      <c r="G478" s="211"/>
      <c r="H478" s="211"/>
    </row>
    <row r="479" spans="2:8" ht="15.75" customHeight="1" x14ac:dyDescent="0.2">
      <c r="B479" s="211"/>
      <c r="C479" s="211"/>
      <c r="D479" s="211"/>
      <c r="E479" s="211"/>
      <c r="F479" s="211"/>
      <c r="G479" s="211"/>
      <c r="H479" s="211"/>
    </row>
    <row r="480" spans="2:8" ht="15.75" customHeight="1" x14ac:dyDescent="0.2">
      <c r="B480" s="211"/>
      <c r="C480" s="211"/>
      <c r="D480" s="211"/>
      <c r="E480" s="211"/>
      <c r="F480" s="211"/>
      <c r="G480" s="211"/>
      <c r="H480" s="211"/>
    </row>
    <row r="481" spans="2:8" ht="15.75" customHeight="1" x14ac:dyDescent="0.2">
      <c r="B481" s="211"/>
      <c r="C481" s="211"/>
      <c r="D481" s="211"/>
      <c r="E481" s="211"/>
      <c r="F481" s="211"/>
      <c r="G481" s="211"/>
      <c r="H481" s="211"/>
    </row>
    <row r="482" spans="2:8" ht="15.75" customHeight="1" x14ac:dyDescent="0.2">
      <c r="B482" s="211"/>
      <c r="C482" s="211"/>
      <c r="D482" s="211"/>
      <c r="E482" s="211"/>
      <c r="F482" s="211"/>
      <c r="G482" s="211"/>
      <c r="H482" s="211"/>
    </row>
    <row r="483" spans="2:8" ht="15.75" customHeight="1" x14ac:dyDescent="0.2">
      <c r="B483" s="211"/>
      <c r="C483" s="211"/>
      <c r="D483" s="211"/>
      <c r="E483" s="211"/>
      <c r="F483" s="211"/>
      <c r="G483" s="211"/>
      <c r="H483" s="211"/>
    </row>
    <row r="484" spans="2:8" ht="15.75" customHeight="1" x14ac:dyDescent="0.2">
      <c r="B484" s="211"/>
      <c r="C484" s="211"/>
      <c r="D484" s="211"/>
      <c r="E484" s="211"/>
      <c r="F484" s="211"/>
      <c r="G484" s="211"/>
      <c r="H484" s="211"/>
    </row>
    <row r="485" spans="2:8" ht="15.75" customHeight="1" x14ac:dyDescent="0.2">
      <c r="B485" s="211"/>
      <c r="C485" s="211"/>
      <c r="D485" s="211"/>
      <c r="E485" s="211"/>
      <c r="F485" s="211"/>
      <c r="G485" s="211"/>
      <c r="H485" s="211"/>
    </row>
    <row r="486" spans="2:8" ht="15.75" customHeight="1" x14ac:dyDescent="0.2">
      <c r="B486" s="211"/>
      <c r="C486" s="211"/>
      <c r="D486" s="211"/>
      <c r="E486" s="211"/>
      <c r="F486" s="211"/>
      <c r="G486" s="211"/>
      <c r="H486" s="211"/>
    </row>
    <row r="487" spans="2:8" ht="15.75" customHeight="1" x14ac:dyDescent="0.2">
      <c r="B487" s="211"/>
      <c r="C487" s="211"/>
      <c r="D487" s="211"/>
      <c r="E487" s="211"/>
      <c r="F487" s="211"/>
      <c r="G487" s="211"/>
      <c r="H487" s="211"/>
    </row>
    <row r="488" spans="2:8" ht="15.75" customHeight="1" x14ac:dyDescent="0.2">
      <c r="B488" s="211"/>
      <c r="C488" s="211"/>
      <c r="D488" s="211"/>
      <c r="E488" s="211"/>
      <c r="F488" s="211"/>
      <c r="G488" s="211"/>
      <c r="H488" s="211"/>
    </row>
    <row r="489" spans="2:8" ht="15.75" customHeight="1" x14ac:dyDescent="0.2">
      <c r="B489" s="211"/>
      <c r="C489" s="211"/>
      <c r="D489" s="211"/>
      <c r="E489" s="211"/>
      <c r="F489" s="211"/>
      <c r="G489" s="211"/>
      <c r="H489" s="211"/>
    </row>
    <row r="490" spans="2:8" ht="15.75" customHeight="1" x14ac:dyDescent="0.2">
      <c r="B490" s="211"/>
      <c r="C490" s="211"/>
      <c r="D490" s="211"/>
      <c r="E490" s="211"/>
      <c r="F490" s="211"/>
      <c r="G490" s="211"/>
      <c r="H490" s="211"/>
    </row>
    <row r="491" spans="2:8" ht="15.75" customHeight="1" x14ac:dyDescent="0.2">
      <c r="B491" s="211"/>
      <c r="C491" s="211"/>
      <c r="D491" s="211"/>
      <c r="E491" s="211"/>
      <c r="F491" s="211"/>
      <c r="G491" s="211"/>
      <c r="H491" s="211"/>
    </row>
    <row r="492" spans="2:8" ht="15.75" customHeight="1" x14ac:dyDescent="0.2">
      <c r="B492" s="211"/>
      <c r="C492" s="211"/>
      <c r="D492" s="211"/>
      <c r="E492" s="211"/>
      <c r="F492" s="211"/>
      <c r="G492" s="211"/>
      <c r="H492" s="211"/>
    </row>
    <row r="493" spans="2:8" ht="15.75" customHeight="1" x14ac:dyDescent="0.2">
      <c r="B493" s="211"/>
      <c r="C493" s="211"/>
      <c r="D493" s="211"/>
      <c r="E493" s="211"/>
      <c r="F493" s="211"/>
      <c r="G493" s="211"/>
      <c r="H493" s="211"/>
    </row>
    <row r="494" spans="2:8" ht="15.75" customHeight="1" x14ac:dyDescent="0.2">
      <c r="B494" s="211"/>
      <c r="C494" s="211"/>
      <c r="D494" s="211"/>
      <c r="E494" s="211"/>
      <c r="F494" s="211"/>
      <c r="G494" s="211"/>
      <c r="H494" s="211"/>
    </row>
    <row r="495" spans="2:8" ht="15.75" customHeight="1" x14ac:dyDescent="0.2">
      <c r="B495" s="211"/>
      <c r="C495" s="211"/>
      <c r="D495" s="211"/>
      <c r="E495" s="211"/>
      <c r="F495" s="211"/>
      <c r="G495" s="211"/>
      <c r="H495" s="211"/>
    </row>
    <row r="496" spans="2:8" ht="15.75" customHeight="1" x14ac:dyDescent="0.2">
      <c r="B496" s="211"/>
      <c r="C496" s="211"/>
      <c r="D496" s="211"/>
      <c r="E496" s="211"/>
      <c r="F496" s="211"/>
      <c r="G496" s="211"/>
      <c r="H496" s="211"/>
    </row>
    <row r="497" spans="2:8" ht="15.75" customHeight="1" x14ac:dyDescent="0.2">
      <c r="B497" s="211"/>
      <c r="C497" s="211"/>
      <c r="D497" s="211"/>
      <c r="E497" s="211"/>
      <c r="F497" s="211"/>
      <c r="G497" s="211"/>
      <c r="H497" s="211"/>
    </row>
    <row r="498" spans="2:8" ht="15.75" customHeight="1" x14ac:dyDescent="0.2">
      <c r="B498" s="211"/>
      <c r="C498" s="211"/>
      <c r="D498" s="211"/>
      <c r="E498" s="211"/>
      <c r="F498" s="211"/>
      <c r="G498" s="211"/>
      <c r="H498" s="211"/>
    </row>
    <row r="499" spans="2:8" ht="15.75" customHeight="1" x14ac:dyDescent="0.2">
      <c r="B499" s="211"/>
      <c r="C499" s="211"/>
      <c r="D499" s="211"/>
      <c r="E499" s="211"/>
      <c r="F499" s="211"/>
      <c r="G499" s="211"/>
      <c r="H499" s="211"/>
    </row>
    <row r="500" spans="2:8" ht="15.75" customHeight="1" x14ac:dyDescent="0.2">
      <c r="B500" s="211"/>
      <c r="C500" s="211"/>
      <c r="D500" s="211"/>
      <c r="E500" s="211"/>
      <c r="F500" s="211"/>
      <c r="G500" s="211"/>
      <c r="H500" s="211"/>
    </row>
    <row r="501" spans="2:8" ht="15.75" customHeight="1" x14ac:dyDescent="0.2">
      <c r="B501" s="211"/>
      <c r="C501" s="211"/>
      <c r="D501" s="211"/>
      <c r="E501" s="211"/>
      <c r="F501" s="211"/>
      <c r="G501" s="211"/>
      <c r="H501" s="211"/>
    </row>
    <row r="502" spans="2:8" ht="15.75" customHeight="1" x14ac:dyDescent="0.2">
      <c r="B502" s="211"/>
      <c r="C502" s="211"/>
      <c r="D502" s="211"/>
      <c r="E502" s="211"/>
      <c r="F502" s="211"/>
      <c r="G502" s="211"/>
      <c r="H502" s="211"/>
    </row>
    <row r="503" spans="2:8" ht="15.75" customHeight="1" x14ac:dyDescent="0.2">
      <c r="B503" s="211"/>
      <c r="C503" s="211"/>
      <c r="D503" s="211"/>
      <c r="E503" s="211"/>
      <c r="F503" s="211"/>
      <c r="G503" s="211"/>
      <c r="H503" s="211"/>
    </row>
    <row r="504" spans="2:8" ht="15.75" customHeight="1" x14ac:dyDescent="0.2">
      <c r="B504" s="211"/>
      <c r="C504" s="211"/>
      <c r="D504" s="211"/>
      <c r="E504" s="211"/>
      <c r="F504" s="211"/>
      <c r="G504" s="211"/>
      <c r="H504" s="211"/>
    </row>
    <row r="505" spans="2:8" ht="15.75" customHeight="1" x14ac:dyDescent="0.2">
      <c r="B505" s="211"/>
      <c r="C505" s="211"/>
      <c r="D505" s="211"/>
      <c r="E505" s="211"/>
      <c r="F505" s="211"/>
      <c r="G505" s="211"/>
      <c r="H505" s="211"/>
    </row>
    <row r="506" spans="2:8" ht="15.75" customHeight="1" x14ac:dyDescent="0.2">
      <c r="B506" s="211"/>
      <c r="C506" s="211"/>
      <c r="D506" s="211"/>
      <c r="E506" s="211"/>
      <c r="F506" s="211"/>
      <c r="G506" s="211"/>
      <c r="H506" s="211"/>
    </row>
    <row r="507" spans="2:8" ht="15.75" customHeight="1" x14ac:dyDescent="0.2">
      <c r="B507" s="211"/>
      <c r="C507" s="211"/>
      <c r="D507" s="211"/>
      <c r="E507" s="211"/>
      <c r="F507" s="211"/>
      <c r="G507" s="211"/>
      <c r="H507" s="211"/>
    </row>
    <row r="508" spans="2:8" ht="15.75" customHeight="1" x14ac:dyDescent="0.2">
      <c r="B508" s="211"/>
      <c r="C508" s="211"/>
      <c r="D508" s="211"/>
      <c r="E508" s="211"/>
      <c r="F508" s="211"/>
      <c r="G508" s="211"/>
      <c r="H508" s="211"/>
    </row>
    <row r="509" spans="2:8" ht="15.75" customHeight="1" x14ac:dyDescent="0.2">
      <c r="B509" s="211"/>
      <c r="C509" s="211"/>
      <c r="D509" s="211"/>
      <c r="E509" s="211"/>
      <c r="F509" s="211"/>
      <c r="G509" s="211"/>
      <c r="H509" s="211"/>
    </row>
    <row r="510" spans="2:8" ht="15.75" customHeight="1" x14ac:dyDescent="0.2">
      <c r="B510" s="211"/>
      <c r="C510" s="211"/>
      <c r="D510" s="211"/>
      <c r="E510" s="211"/>
      <c r="F510" s="211"/>
      <c r="G510" s="211"/>
      <c r="H510" s="211"/>
    </row>
    <row r="511" spans="2:8" ht="15.75" customHeight="1" x14ac:dyDescent="0.2">
      <c r="B511" s="211"/>
      <c r="C511" s="211"/>
      <c r="D511" s="211"/>
      <c r="E511" s="211"/>
      <c r="F511" s="211"/>
      <c r="G511" s="211"/>
      <c r="H511" s="211"/>
    </row>
    <row r="512" spans="2:8" ht="15.75" customHeight="1" x14ac:dyDescent="0.2">
      <c r="B512" s="211"/>
      <c r="C512" s="211"/>
      <c r="D512" s="211"/>
      <c r="E512" s="211"/>
      <c r="F512" s="211"/>
      <c r="G512" s="211"/>
      <c r="H512" s="211"/>
    </row>
    <row r="513" spans="2:8" ht="15.75" customHeight="1" x14ac:dyDescent="0.2">
      <c r="B513" s="211"/>
      <c r="C513" s="211"/>
      <c r="D513" s="211"/>
      <c r="E513" s="211"/>
      <c r="F513" s="211"/>
      <c r="G513" s="211"/>
      <c r="H513" s="211"/>
    </row>
    <row r="514" spans="2:8" ht="15.75" customHeight="1" x14ac:dyDescent="0.2">
      <c r="B514" s="211"/>
      <c r="C514" s="211"/>
      <c r="D514" s="211"/>
      <c r="E514" s="211"/>
      <c r="F514" s="211"/>
      <c r="G514" s="211"/>
      <c r="H514" s="211"/>
    </row>
    <row r="515" spans="2:8" ht="15.75" customHeight="1" x14ac:dyDescent="0.2">
      <c r="B515" s="211"/>
      <c r="C515" s="211"/>
      <c r="D515" s="211"/>
      <c r="E515" s="211"/>
      <c r="F515" s="211"/>
      <c r="G515" s="211"/>
      <c r="H515" s="211"/>
    </row>
    <row r="516" spans="2:8" ht="15.75" customHeight="1" x14ac:dyDescent="0.2">
      <c r="B516" s="211"/>
      <c r="C516" s="211"/>
      <c r="D516" s="211"/>
      <c r="E516" s="211"/>
      <c r="F516" s="211"/>
      <c r="G516" s="211"/>
      <c r="H516" s="211"/>
    </row>
    <row r="517" spans="2:8" ht="15.75" customHeight="1" x14ac:dyDescent="0.2">
      <c r="B517" s="211"/>
      <c r="C517" s="211"/>
      <c r="D517" s="211"/>
      <c r="E517" s="211"/>
      <c r="F517" s="211"/>
      <c r="G517" s="211"/>
      <c r="H517" s="211"/>
    </row>
    <row r="518" spans="2:8" ht="15.75" customHeight="1" x14ac:dyDescent="0.2">
      <c r="B518" s="211"/>
      <c r="C518" s="211"/>
      <c r="D518" s="211"/>
      <c r="E518" s="211"/>
      <c r="F518" s="211"/>
      <c r="G518" s="211"/>
      <c r="H518" s="211"/>
    </row>
    <row r="519" spans="2:8" ht="15.75" customHeight="1" x14ac:dyDescent="0.2">
      <c r="B519" s="211"/>
      <c r="C519" s="211"/>
      <c r="D519" s="211"/>
      <c r="E519" s="211"/>
      <c r="F519" s="211"/>
      <c r="G519" s="211"/>
      <c r="H519" s="211"/>
    </row>
    <row r="520" spans="2:8" ht="15.75" customHeight="1" x14ac:dyDescent="0.2">
      <c r="B520" s="211"/>
      <c r="C520" s="211"/>
      <c r="D520" s="211"/>
      <c r="E520" s="211"/>
      <c r="F520" s="211"/>
      <c r="G520" s="211"/>
      <c r="H520" s="211"/>
    </row>
    <row r="521" spans="2:8" ht="15.75" customHeight="1" x14ac:dyDescent="0.2">
      <c r="B521" s="211"/>
      <c r="C521" s="211"/>
      <c r="D521" s="211"/>
      <c r="E521" s="211"/>
      <c r="F521" s="211"/>
      <c r="G521" s="211"/>
      <c r="H521" s="211"/>
    </row>
    <row r="522" spans="2:8" ht="15.75" customHeight="1" x14ac:dyDescent="0.2">
      <c r="B522" s="211"/>
      <c r="C522" s="211"/>
      <c r="D522" s="211"/>
      <c r="E522" s="211"/>
      <c r="F522" s="211"/>
      <c r="G522" s="211"/>
      <c r="H522" s="211"/>
    </row>
    <row r="523" spans="2:8" ht="15.75" customHeight="1" x14ac:dyDescent="0.2">
      <c r="B523" s="211"/>
      <c r="C523" s="211"/>
      <c r="D523" s="211"/>
      <c r="E523" s="211"/>
      <c r="F523" s="211"/>
      <c r="G523" s="211"/>
      <c r="H523" s="211"/>
    </row>
    <row r="524" spans="2:8" ht="15.75" customHeight="1" x14ac:dyDescent="0.2">
      <c r="B524" s="211"/>
      <c r="C524" s="211"/>
      <c r="D524" s="211"/>
      <c r="E524" s="211"/>
      <c r="F524" s="211"/>
      <c r="G524" s="211"/>
      <c r="H524" s="211"/>
    </row>
    <row r="525" spans="2:8" ht="15.75" customHeight="1" x14ac:dyDescent="0.2">
      <c r="B525" s="211"/>
      <c r="C525" s="211"/>
      <c r="D525" s="211"/>
      <c r="E525" s="211"/>
      <c r="F525" s="211"/>
      <c r="G525" s="211"/>
      <c r="H525" s="211"/>
    </row>
    <row r="526" spans="2:8" ht="15.75" customHeight="1" x14ac:dyDescent="0.2">
      <c r="B526" s="211"/>
      <c r="C526" s="211"/>
      <c r="D526" s="211"/>
      <c r="E526" s="211"/>
      <c r="F526" s="211"/>
      <c r="G526" s="211"/>
      <c r="H526" s="211"/>
    </row>
    <row r="527" spans="2:8" ht="15.75" customHeight="1" x14ac:dyDescent="0.2">
      <c r="B527" s="211"/>
      <c r="C527" s="211"/>
      <c r="D527" s="211"/>
      <c r="E527" s="211"/>
      <c r="F527" s="211"/>
      <c r="G527" s="211"/>
      <c r="H527" s="211"/>
    </row>
    <row r="528" spans="2:8" ht="15.75" customHeight="1" x14ac:dyDescent="0.2">
      <c r="B528" s="211"/>
      <c r="C528" s="211"/>
      <c r="D528" s="211"/>
      <c r="E528" s="211"/>
      <c r="F528" s="211"/>
      <c r="G528" s="211"/>
      <c r="H528" s="211"/>
    </row>
    <row r="529" spans="2:8" ht="15.75" customHeight="1" x14ac:dyDescent="0.2">
      <c r="B529" s="211"/>
      <c r="C529" s="211"/>
      <c r="D529" s="211"/>
      <c r="E529" s="211"/>
      <c r="F529" s="211"/>
      <c r="G529" s="211"/>
      <c r="H529" s="211"/>
    </row>
    <row r="530" spans="2:8" ht="15.75" customHeight="1" x14ac:dyDescent="0.2">
      <c r="B530" s="211"/>
      <c r="C530" s="211"/>
      <c r="D530" s="211"/>
      <c r="E530" s="211"/>
      <c r="F530" s="211"/>
      <c r="G530" s="211"/>
      <c r="H530" s="211"/>
    </row>
    <row r="531" spans="2:8" ht="15.75" customHeight="1" x14ac:dyDescent="0.2">
      <c r="B531" s="211"/>
      <c r="C531" s="211"/>
      <c r="D531" s="211"/>
      <c r="E531" s="211"/>
      <c r="F531" s="211"/>
      <c r="G531" s="211"/>
      <c r="H531" s="211"/>
    </row>
    <row r="532" spans="2:8" ht="15.75" customHeight="1" x14ac:dyDescent="0.2">
      <c r="B532" s="211"/>
      <c r="C532" s="211"/>
      <c r="D532" s="211"/>
      <c r="E532" s="211"/>
      <c r="F532" s="211"/>
      <c r="G532" s="211"/>
      <c r="H532" s="211"/>
    </row>
    <row r="533" spans="2:8" ht="15.75" customHeight="1" x14ac:dyDescent="0.2">
      <c r="B533" s="211"/>
      <c r="C533" s="211"/>
      <c r="D533" s="211"/>
      <c r="E533" s="211"/>
      <c r="F533" s="211"/>
      <c r="G533" s="211"/>
      <c r="H533" s="211"/>
    </row>
    <row r="534" spans="2:8" ht="15.75" customHeight="1" x14ac:dyDescent="0.2">
      <c r="B534" s="211"/>
      <c r="C534" s="211"/>
      <c r="D534" s="211"/>
      <c r="E534" s="211"/>
      <c r="F534" s="211"/>
      <c r="G534" s="211"/>
      <c r="H534" s="211"/>
    </row>
    <row r="535" spans="2:8" ht="15.75" customHeight="1" x14ac:dyDescent="0.2">
      <c r="B535" s="211"/>
      <c r="C535" s="211"/>
      <c r="D535" s="211"/>
      <c r="E535" s="211"/>
      <c r="F535" s="211"/>
      <c r="G535" s="211"/>
      <c r="H535" s="211"/>
    </row>
    <row r="536" spans="2:8" ht="15.75" customHeight="1" x14ac:dyDescent="0.2">
      <c r="B536" s="211"/>
      <c r="C536" s="211"/>
      <c r="D536" s="211"/>
      <c r="E536" s="211"/>
      <c r="F536" s="211"/>
      <c r="G536" s="211"/>
      <c r="H536" s="211"/>
    </row>
    <row r="537" spans="2:8" ht="15.75" customHeight="1" x14ac:dyDescent="0.2">
      <c r="B537" s="211"/>
      <c r="C537" s="211"/>
      <c r="D537" s="211"/>
      <c r="E537" s="211"/>
      <c r="F537" s="211"/>
      <c r="G537" s="211"/>
      <c r="H537" s="211"/>
    </row>
    <row r="538" spans="2:8" ht="15.75" customHeight="1" x14ac:dyDescent="0.2">
      <c r="B538" s="211"/>
      <c r="C538" s="211"/>
      <c r="D538" s="211"/>
      <c r="E538" s="211"/>
      <c r="F538" s="211"/>
      <c r="G538" s="211"/>
      <c r="H538" s="211"/>
    </row>
    <row r="539" spans="2:8" ht="15.75" customHeight="1" x14ac:dyDescent="0.2">
      <c r="B539" s="211"/>
      <c r="C539" s="211"/>
      <c r="D539" s="211"/>
      <c r="E539" s="211"/>
      <c r="F539" s="211"/>
      <c r="G539" s="211"/>
      <c r="H539" s="211"/>
    </row>
    <row r="540" spans="2:8" ht="15.75" customHeight="1" x14ac:dyDescent="0.2">
      <c r="B540" s="211"/>
      <c r="C540" s="211"/>
      <c r="D540" s="211"/>
      <c r="E540" s="211"/>
      <c r="F540" s="211"/>
      <c r="G540" s="211"/>
      <c r="H540" s="211"/>
    </row>
    <row r="541" spans="2:8" ht="15.75" customHeight="1" x14ac:dyDescent="0.2">
      <c r="B541" s="211"/>
      <c r="C541" s="211"/>
      <c r="D541" s="211"/>
      <c r="E541" s="211"/>
      <c r="F541" s="211"/>
      <c r="G541" s="211"/>
      <c r="H541" s="211"/>
    </row>
    <row r="542" spans="2:8" ht="15.75" customHeight="1" x14ac:dyDescent="0.2">
      <c r="B542" s="211"/>
      <c r="C542" s="211"/>
      <c r="D542" s="211"/>
      <c r="E542" s="211"/>
      <c r="F542" s="211"/>
      <c r="G542" s="211"/>
      <c r="H542" s="211"/>
    </row>
    <row r="543" spans="2:8" ht="15.75" customHeight="1" x14ac:dyDescent="0.2">
      <c r="B543" s="211"/>
      <c r="C543" s="211"/>
      <c r="D543" s="211"/>
      <c r="E543" s="211"/>
      <c r="F543" s="211"/>
      <c r="G543" s="211"/>
      <c r="H543" s="211"/>
    </row>
    <row r="544" spans="2:8" ht="15.75" customHeight="1" x14ac:dyDescent="0.2">
      <c r="B544" s="211"/>
      <c r="C544" s="211"/>
      <c r="D544" s="211"/>
      <c r="E544" s="211"/>
      <c r="F544" s="211"/>
      <c r="G544" s="211"/>
      <c r="H544" s="211"/>
    </row>
    <row r="545" spans="2:8" ht="15.75" customHeight="1" x14ac:dyDescent="0.2">
      <c r="B545" s="211"/>
      <c r="C545" s="211"/>
      <c r="D545" s="211"/>
      <c r="E545" s="211"/>
      <c r="F545" s="211"/>
      <c r="G545" s="211"/>
      <c r="H545" s="211"/>
    </row>
    <row r="546" spans="2:8" ht="15.75" customHeight="1" x14ac:dyDescent="0.2">
      <c r="B546" s="211"/>
      <c r="C546" s="211"/>
      <c r="D546" s="211"/>
      <c r="E546" s="211"/>
      <c r="F546" s="211"/>
      <c r="G546" s="211"/>
      <c r="H546" s="211"/>
    </row>
    <row r="547" spans="2:8" ht="15.75" customHeight="1" x14ac:dyDescent="0.2">
      <c r="B547" s="211"/>
      <c r="C547" s="211"/>
      <c r="D547" s="211"/>
      <c r="E547" s="211"/>
      <c r="F547" s="211"/>
      <c r="G547" s="211"/>
      <c r="H547" s="211"/>
    </row>
    <row r="548" spans="2:8" ht="15.75" customHeight="1" x14ac:dyDescent="0.2">
      <c r="B548" s="211"/>
      <c r="C548" s="211"/>
      <c r="D548" s="211"/>
      <c r="E548" s="211"/>
      <c r="F548" s="211"/>
      <c r="G548" s="211"/>
      <c r="H548" s="211"/>
    </row>
    <row r="549" spans="2:8" ht="15.75" customHeight="1" x14ac:dyDescent="0.2">
      <c r="B549" s="211"/>
      <c r="C549" s="211"/>
      <c r="D549" s="211"/>
      <c r="E549" s="211"/>
      <c r="F549" s="211"/>
      <c r="G549" s="211"/>
      <c r="H549" s="211"/>
    </row>
    <row r="550" spans="2:8" ht="15.75" customHeight="1" x14ac:dyDescent="0.2">
      <c r="B550" s="211"/>
      <c r="C550" s="211"/>
      <c r="D550" s="211"/>
      <c r="E550" s="211"/>
      <c r="F550" s="211"/>
      <c r="G550" s="211"/>
      <c r="H550" s="211"/>
    </row>
    <row r="551" spans="2:8" ht="15.75" customHeight="1" x14ac:dyDescent="0.2">
      <c r="B551" s="211"/>
      <c r="C551" s="211"/>
      <c r="D551" s="211"/>
      <c r="E551" s="211"/>
      <c r="F551" s="211"/>
      <c r="G551" s="211"/>
      <c r="H551" s="211"/>
    </row>
    <row r="552" spans="2:8" ht="15.75" customHeight="1" x14ac:dyDescent="0.2">
      <c r="B552" s="211"/>
      <c r="C552" s="211"/>
      <c r="D552" s="211"/>
      <c r="E552" s="211"/>
      <c r="F552" s="211"/>
      <c r="G552" s="211"/>
      <c r="H552" s="211"/>
    </row>
    <row r="553" spans="2:8" ht="15.75" customHeight="1" x14ac:dyDescent="0.2">
      <c r="B553" s="211"/>
      <c r="C553" s="211"/>
      <c r="D553" s="211"/>
      <c r="E553" s="211"/>
      <c r="F553" s="211"/>
      <c r="G553" s="211"/>
      <c r="H553" s="211"/>
    </row>
    <row r="554" spans="2:8" ht="15.75" customHeight="1" x14ac:dyDescent="0.2">
      <c r="B554" s="211"/>
      <c r="C554" s="211"/>
      <c r="D554" s="211"/>
      <c r="E554" s="211"/>
      <c r="F554" s="211"/>
      <c r="G554" s="211"/>
      <c r="H554" s="211"/>
    </row>
    <row r="555" spans="2:8" ht="15.75" customHeight="1" x14ac:dyDescent="0.2">
      <c r="B555" s="211"/>
      <c r="C555" s="211"/>
      <c r="D555" s="211"/>
      <c r="E555" s="211"/>
      <c r="F555" s="211"/>
      <c r="G555" s="211"/>
      <c r="H555" s="211"/>
    </row>
    <row r="556" spans="2:8" ht="15.75" customHeight="1" x14ac:dyDescent="0.2">
      <c r="B556" s="211"/>
      <c r="C556" s="211"/>
      <c r="D556" s="211"/>
      <c r="E556" s="211"/>
      <c r="F556" s="211"/>
      <c r="G556" s="211"/>
      <c r="H556" s="211"/>
    </row>
    <row r="557" spans="2:8" ht="15.75" customHeight="1" x14ac:dyDescent="0.2">
      <c r="B557" s="211"/>
      <c r="C557" s="211"/>
      <c r="D557" s="211"/>
      <c r="E557" s="211"/>
      <c r="F557" s="211"/>
      <c r="G557" s="211"/>
      <c r="H557" s="211"/>
    </row>
    <row r="558" spans="2:8" ht="15.75" customHeight="1" x14ac:dyDescent="0.2">
      <c r="B558" s="211"/>
      <c r="C558" s="211"/>
      <c r="D558" s="211"/>
      <c r="E558" s="211"/>
      <c r="F558" s="211"/>
      <c r="G558" s="211"/>
      <c r="H558" s="211"/>
    </row>
    <row r="559" spans="2:8" ht="15.75" customHeight="1" x14ac:dyDescent="0.2">
      <c r="B559" s="211"/>
      <c r="C559" s="211"/>
      <c r="D559" s="211"/>
      <c r="E559" s="211"/>
      <c r="F559" s="211"/>
      <c r="G559" s="211"/>
      <c r="H559" s="211"/>
    </row>
    <row r="560" spans="2:8" ht="15.75" customHeight="1" x14ac:dyDescent="0.2">
      <c r="B560" s="211"/>
      <c r="C560" s="211"/>
      <c r="D560" s="211"/>
      <c r="E560" s="211"/>
      <c r="F560" s="211"/>
      <c r="G560" s="211"/>
      <c r="H560" s="211"/>
    </row>
    <row r="561" spans="2:8" ht="15.75" customHeight="1" x14ac:dyDescent="0.2">
      <c r="B561" s="211"/>
      <c r="C561" s="211"/>
      <c r="D561" s="211"/>
      <c r="E561" s="211"/>
      <c r="F561" s="211"/>
      <c r="G561" s="211"/>
      <c r="H561" s="211"/>
    </row>
    <row r="562" spans="2:8" ht="15.75" customHeight="1" x14ac:dyDescent="0.2">
      <c r="B562" s="211"/>
      <c r="C562" s="211"/>
      <c r="D562" s="211"/>
      <c r="E562" s="211"/>
      <c r="F562" s="211"/>
      <c r="G562" s="211"/>
      <c r="H562" s="211"/>
    </row>
    <row r="563" spans="2:8" ht="15.75" customHeight="1" x14ac:dyDescent="0.2">
      <c r="B563" s="211"/>
      <c r="C563" s="211"/>
      <c r="D563" s="211"/>
      <c r="E563" s="211"/>
      <c r="F563" s="211"/>
      <c r="G563" s="211"/>
      <c r="H563" s="211"/>
    </row>
    <row r="564" spans="2:8" ht="15.75" customHeight="1" x14ac:dyDescent="0.2">
      <c r="B564" s="211"/>
      <c r="C564" s="211"/>
      <c r="D564" s="211"/>
      <c r="E564" s="211"/>
      <c r="F564" s="211"/>
      <c r="G564" s="211"/>
      <c r="H564" s="211"/>
    </row>
    <row r="565" spans="2:8" ht="15.75" customHeight="1" x14ac:dyDescent="0.2">
      <c r="B565" s="211"/>
      <c r="C565" s="211"/>
      <c r="D565" s="211"/>
      <c r="E565" s="211"/>
      <c r="F565" s="211"/>
      <c r="G565" s="211"/>
      <c r="H565" s="211"/>
    </row>
    <row r="566" spans="2:8" ht="15.75" customHeight="1" x14ac:dyDescent="0.2">
      <c r="B566" s="211"/>
      <c r="C566" s="211"/>
      <c r="D566" s="211"/>
      <c r="E566" s="211"/>
      <c r="F566" s="211"/>
      <c r="G566" s="211"/>
      <c r="H566" s="211"/>
    </row>
    <row r="567" spans="2:8" ht="15.75" customHeight="1" x14ac:dyDescent="0.2">
      <c r="B567" s="211"/>
      <c r="C567" s="211"/>
      <c r="D567" s="211"/>
      <c r="E567" s="211"/>
      <c r="F567" s="211"/>
      <c r="G567" s="211"/>
      <c r="H567" s="211"/>
    </row>
    <row r="568" spans="2:8" ht="15.75" customHeight="1" x14ac:dyDescent="0.2">
      <c r="B568" s="211"/>
      <c r="C568" s="211"/>
      <c r="D568" s="211"/>
      <c r="E568" s="211"/>
      <c r="F568" s="211"/>
      <c r="G568" s="211"/>
      <c r="H568" s="211"/>
    </row>
    <row r="569" spans="2:8" ht="15.75" customHeight="1" x14ac:dyDescent="0.2">
      <c r="B569" s="211"/>
      <c r="C569" s="211"/>
      <c r="D569" s="211"/>
      <c r="E569" s="211"/>
      <c r="F569" s="211"/>
      <c r="G569" s="211"/>
      <c r="H569" s="211"/>
    </row>
    <row r="570" spans="2:8" ht="15.75" customHeight="1" x14ac:dyDescent="0.2">
      <c r="B570" s="211"/>
      <c r="C570" s="211"/>
      <c r="D570" s="211"/>
      <c r="E570" s="211"/>
      <c r="F570" s="211"/>
      <c r="G570" s="211"/>
      <c r="H570" s="211"/>
    </row>
    <row r="571" spans="2:8" ht="15.75" customHeight="1" x14ac:dyDescent="0.2">
      <c r="B571" s="211"/>
      <c r="C571" s="211"/>
      <c r="D571" s="211"/>
      <c r="E571" s="211"/>
      <c r="F571" s="211"/>
      <c r="G571" s="211"/>
      <c r="H571" s="211"/>
    </row>
    <row r="572" spans="2:8" ht="15.75" customHeight="1" x14ac:dyDescent="0.2">
      <c r="B572" s="211"/>
      <c r="C572" s="211"/>
      <c r="D572" s="211"/>
      <c r="E572" s="211"/>
      <c r="F572" s="211"/>
      <c r="G572" s="211"/>
      <c r="H572" s="211"/>
    </row>
    <row r="573" spans="2:8" ht="15.75" customHeight="1" x14ac:dyDescent="0.2">
      <c r="B573" s="211"/>
      <c r="C573" s="211"/>
      <c r="D573" s="211"/>
      <c r="E573" s="211"/>
      <c r="F573" s="211"/>
      <c r="G573" s="211"/>
      <c r="H573" s="211"/>
    </row>
    <row r="574" spans="2:8" ht="15.75" customHeight="1" x14ac:dyDescent="0.2">
      <c r="B574" s="211"/>
      <c r="C574" s="211"/>
      <c r="D574" s="211"/>
      <c r="E574" s="211"/>
      <c r="F574" s="211"/>
      <c r="G574" s="211"/>
      <c r="H574" s="211"/>
    </row>
    <row r="575" spans="2:8" ht="15.75" customHeight="1" x14ac:dyDescent="0.2">
      <c r="B575" s="211"/>
      <c r="C575" s="211"/>
      <c r="D575" s="211"/>
      <c r="E575" s="211"/>
      <c r="F575" s="211"/>
      <c r="G575" s="211"/>
      <c r="H575" s="211"/>
    </row>
    <row r="576" spans="2:8" ht="15.75" customHeight="1" x14ac:dyDescent="0.2">
      <c r="B576" s="211"/>
      <c r="C576" s="211"/>
      <c r="D576" s="211"/>
      <c r="E576" s="211"/>
      <c r="F576" s="211"/>
      <c r="G576" s="211"/>
      <c r="H576" s="211"/>
    </row>
    <row r="577" spans="2:8" ht="15.75" customHeight="1" x14ac:dyDescent="0.2">
      <c r="B577" s="211"/>
      <c r="C577" s="211"/>
      <c r="D577" s="211"/>
      <c r="E577" s="211"/>
      <c r="F577" s="211"/>
      <c r="G577" s="211"/>
      <c r="H577" s="211"/>
    </row>
    <row r="578" spans="2:8" ht="15.75" customHeight="1" x14ac:dyDescent="0.2">
      <c r="B578" s="211"/>
      <c r="C578" s="211"/>
      <c r="D578" s="211"/>
      <c r="E578" s="211"/>
      <c r="F578" s="211"/>
      <c r="G578" s="211"/>
      <c r="H578" s="211"/>
    </row>
    <row r="579" spans="2:8" ht="15.75" customHeight="1" x14ac:dyDescent="0.2">
      <c r="B579" s="211"/>
      <c r="C579" s="211"/>
      <c r="D579" s="211"/>
      <c r="E579" s="211"/>
      <c r="F579" s="211"/>
      <c r="G579" s="211"/>
      <c r="H579" s="211"/>
    </row>
    <row r="580" spans="2:8" ht="15.75" customHeight="1" x14ac:dyDescent="0.2">
      <c r="B580" s="211"/>
      <c r="C580" s="211"/>
      <c r="D580" s="211"/>
      <c r="E580" s="211"/>
      <c r="F580" s="211"/>
      <c r="G580" s="211"/>
      <c r="H580" s="211"/>
    </row>
    <row r="581" spans="2:8" ht="15.75" customHeight="1" x14ac:dyDescent="0.2">
      <c r="B581" s="211"/>
      <c r="C581" s="211"/>
      <c r="D581" s="211"/>
      <c r="E581" s="211"/>
      <c r="F581" s="211"/>
      <c r="G581" s="211"/>
      <c r="H581" s="211"/>
    </row>
    <row r="582" spans="2:8" ht="15.75" customHeight="1" x14ac:dyDescent="0.2">
      <c r="B582" s="211"/>
      <c r="C582" s="211"/>
      <c r="D582" s="211"/>
      <c r="E582" s="211"/>
      <c r="F582" s="211"/>
      <c r="G582" s="211"/>
      <c r="H582" s="211"/>
    </row>
    <row r="583" spans="2:8" ht="15.75" customHeight="1" x14ac:dyDescent="0.2">
      <c r="B583" s="211"/>
      <c r="C583" s="211"/>
      <c r="D583" s="211"/>
      <c r="E583" s="211"/>
      <c r="F583" s="211"/>
      <c r="G583" s="211"/>
      <c r="H583" s="211"/>
    </row>
    <row r="584" spans="2:8" ht="15.75" customHeight="1" x14ac:dyDescent="0.2">
      <c r="B584" s="211"/>
      <c r="C584" s="211"/>
      <c r="D584" s="211"/>
      <c r="E584" s="211"/>
      <c r="F584" s="211"/>
      <c r="G584" s="211"/>
      <c r="H584" s="211"/>
    </row>
    <row r="585" spans="2:8" ht="15.75" customHeight="1" x14ac:dyDescent="0.2">
      <c r="B585" s="211"/>
      <c r="C585" s="211"/>
      <c r="D585" s="211"/>
      <c r="E585" s="211"/>
      <c r="F585" s="211"/>
      <c r="G585" s="211"/>
      <c r="H585" s="211"/>
    </row>
    <row r="586" spans="2:8" ht="15.75" customHeight="1" x14ac:dyDescent="0.2">
      <c r="B586" s="211"/>
      <c r="C586" s="211"/>
      <c r="D586" s="211"/>
      <c r="E586" s="211"/>
      <c r="F586" s="211"/>
      <c r="G586" s="211"/>
      <c r="H586" s="211"/>
    </row>
    <row r="587" spans="2:8" ht="15.75" customHeight="1" x14ac:dyDescent="0.2">
      <c r="B587" s="211"/>
      <c r="C587" s="211"/>
      <c r="D587" s="211"/>
      <c r="E587" s="211"/>
      <c r="F587" s="211"/>
      <c r="G587" s="211"/>
      <c r="H587" s="211"/>
    </row>
    <row r="588" spans="2:8" ht="15.75" customHeight="1" x14ac:dyDescent="0.2">
      <c r="B588" s="211"/>
      <c r="C588" s="211"/>
      <c r="D588" s="211"/>
      <c r="E588" s="211"/>
      <c r="F588" s="211"/>
      <c r="G588" s="211"/>
      <c r="H588" s="211"/>
    </row>
    <row r="589" spans="2:8" ht="15.75" customHeight="1" x14ac:dyDescent="0.2">
      <c r="B589" s="211"/>
      <c r="C589" s="211"/>
      <c r="D589" s="211"/>
      <c r="E589" s="211"/>
      <c r="F589" s="211"/>
      <c r="G589" s="211"/>
      <c r="H589" s="211"/>
    </row>
    <row r="590" spans="2:8" ht="15.75" customHeight="1" x14ac:dyDescent="0.2">
      <c r="B590" s="211"/>
      <c r="C590" s="211"/>
      <c r="D590" s="211"/>
      <c r="E590" s="211"/>
      <c r="F590" s="211"/>
      <c r="G590" s="211"/>
      <c r="H590" s="211"/>
    </row>
    <row r="591" spans="2:8" ht="15.75" customHeight="1" x14ac:dyDescent="0.2">
      <c r="B591" s="211"/>
      <c r="C591" s="211"/>
      <c r="D591" s="211"/>
      <c r="E591" s="211"/>
      <c r="F591" s="211"/>
      <c r="G591" s="211"/>
      <c r="H591" s="211"/>
    </row>
    <row r="592" spans="2:8" ht="15.75" customHeight="1" x14ac:dyDescent="0.2">
      <c r="B592" s="211"/>
      <c r="C592" s="211"/>
      <c r="D592" s="211"/>
      <c r="E592" s="211"/>
      <c r="F592" s="211"/>
      <c r="G592" s="211"/>
      <c r="H592" s="211"/>
    </row>
    <row r="593" spans="2:8" ht="15.75" customHeight="1" x14ac:dyDescent="0.2">
      <c r="B593" s="211"/>
      <c r="C593" s="211"/>
      <c r="D593" s="211"/>
      <c r="E593" s="211"/>
      <c r="F593" s="211"/>
      <c r="G593" s="211"/>
      <c r="H593" s="211"/>
    </row>
    <row r="594" spans="2:8" ht="15.75" customHeight="1" x14ac:dyDescent="0.2">
      <c r="B594" s="211"/>
      <c r="C594" s="211"/>
      <c r="D594" s="211"/>
      <c r="E594" s="211"/>
      <c r="F594" s="211"/>
      <c r="G594" s="211"/>
      <c r="H594" s="211"/>
    </row>
    <row r="595" spans="2:8" ht="15.75" customHeight="1" x14ac:dyDescent="0.2">
      <c r="B595" s="211"/>
      <c r="C595" s="211"/>
      <c r="D595" s="211"/>
      <c r="E595" s="211"/>
      <c r="F595" s="211"/>
      <c r="G595" s="211"/>
      <c r="H595" s="211"/>
    </row>
    <row r="596" spans="2:8" ht="15.75" customHeight="1" x14ac:dyDescent="0.2">
      <c r="B596" s="211"/>
      <c r="C596" s="211"/>
      <c r="D596" s="211"/>
      <c r="E596" s="211"/>
      <c r="F596" s="211"/>
      <c r="G596" s="211"/>
      <c r="H596" s="211"/>
    </row>
    <row r="597" spans="2:8" ht="15.75" customHeight="1" x14ac:dyDescent="0.2">
      <c r="B597" s="211"/>
      <c r="C597" s="211"/>
      <c r="D597" s="211"/>
      <c r="E597" s="211"/>
      <c r="F597" s="211"/>
      <c r="G597" s="211"/>
      <c r="H597" s="211"/>
    </row>
    <row r="598" spans="2:8" ht="15.75" customHeight="1" x14ac:dyDescent="0.2">
      <c r="B598" s="211"/>
      <c r="C598" s="211"/>
      <c r="D598" s="211"/>
      <c r="E598" s="211"/>
      <c r="F598" s="211"/>
      <c r="G598" s="211"/>
      <c r="H598" s="211"/>
    </row>
    <row r="599" spans="2:8" ht="15.75" customHeight="1" x14ac:dyDescent="0.2">
      <c r="B599" s="211"/>
      <c r="C599" s="211"/>
      <c r="D599" s="211"/>
      <c r="E599" s="211"/>
      <c r="F599" s="211"/>
      <c r="G599" s="211"/>
      <c r="H599" s="211"/>
    </row>
    <row r="600" spans="2:8" ht="15.75" customHeight="1" x14ac:dyDescent="0.2">
      <c r="B600" s="211"/>
      <c r="C600" s="211"/>
      <c r="D600" s="211"/>
      <c r="E600" s="211"/>
      <c r="F600" s="211"/>
      <c r="G600" s="211"/>
      <c r="H600" s="211"/>
    </row>
    <row r="601" spans="2:8" ht="15.75" customHeight="1" x14ac:dyDescent="0.2">
      <c r="B601" s="211"/>
      <c r="C601" s="211"/>
      <c r="D601" s="211"/>
      <c r="E601" s="211"/>
      <c r="F601" s="211"/>
      <c r="G601" s="211"/>
      <c r="H601" s="211"/>
    </row>
    <row r="602" spans="2:8" ht="15.75" customHeight="1" x14ac:dyDescent="0.2">
      <c r="B602" s="211"/>
      <c r="C602" s="211"/>
      <c r="D602" s="211"/>
      <c r="E602" s="211"/>
      <c r="F602" s="211"/>
      <c r="G602" s="211"/>
      <c r="H602" s="211"/>
    </row>
    <row r="603" spans="2:8" ht="15.75" customHeight="1" x14ac:dyDescent="0.2">
      <c r="B603" s="211"/>
      <c r="C603" s="211"/>
      <c r="D603" s="211"/>
      <c r="E603" s="211"/>
      <c r="F603" s="211"/>
      <c r="G603" s="211"/>
      <c r="H603" s="211"/>
    </row>
    <row r="604" spans="2:8" ht="15.75" customHeight="1" x14ac:dyDescent="0.2">
      <c r="B604" s="211"/>
      <c r="C604" s="211"/>
      <c r="D604" s="211"/>
      <c r="E604" s="211"/>
      <c r="F604" s="211"/>
      <c r="G604" s="211"/>
      <c r="H604" s="211"/>
    </row>
    <row r="605" spans="2:8" ht="15.75" customHeight="1" x14ac:dyDescent="0.2">
      <c r="B605" s="211"/>
      <c r="C605" s="211"/>
      <c r="D605" s="211"/>
      <c r="E605" s="211"/>
      <c r="F605" s="211"/>
      <c r="G605" s="211"/>
      <c r="H605" s="211"/>
    </row>
    <row r="606" spans="2:8" ht="15.75" customHeight="1" x14ac:dyDescent="0.2">
      <c r="B606" s="211"/>
      <c r="C606" s="211"/>
      <c r="D606" s="211"/>
      <c r="E606" s="211"/>
      <c r="F606" s="211"/>
      <c r="G606" s="211"/>
      <c r="H606" s="211"/>
    </row>
    <row r="607" spans="2:8" ht="15.75" customHeight="1" x14ac:dyDescent="0.2">
      <c r="B607" s="211"/>
      <c r="C607" s="211"/>
      <c r="D607" s="211"/>
      <c r="E607" s="211"/>
      <c r="F607" s="211"/>
      <c r="G607" s="211"/>
      <c r="H607" s="211"/>
    </row>
    <row r="608" spans="2:8" ht="15.75" customHeight="1" x14ac:dyDescent="0.2">
      <c r="B608" s="211"/>
      <c r="C608" s="211"/>
      <c r="D608" s="211"/>
      <c r="E608" s="211"/>
      <c r="F608" s="211"/>
      <c r="G608" s="211"/>
      <c r="H608" s="211"/>
    </row>
    <row r="609" spans="2:8" ht="15.75" customHeight="1" x14ac:dyDescent="0.2">
      <c r="B609" s="211"/>
      <c r="C609" s="211"/>
      <c r="D609" s="211"/>
      <c r="E609" s="211"/>
      <c r="F609" s="211"/>
      <c r="G609" s="211"/>
      <c r="H609" s="211"/>
    </row>
    <row r="610" spans="2:8" ht="15.75" customHeight="1" x14ac:dyDescent="0.2">
      <c r="B610" s="211"/>
      <c r="C610" s="211"/>
      <c r="D610" s="211"/>
      <c r="E610" s="211"/>
      <c r="F610" s="211"/>
      <c r="G610" s="211"/>
      <c r="H610" s="211"/>
    </row>
    <row r="611" spans="2:8" ht="15.75" customHeight="1" x14ac:dyDescent="0.2">
      <c r="B611" s="211"/>
      <c r="C611" s="211"/>
      <c r="D611" s="211"/>
      <c r="E611" s="211"/>
      <c r="F611" s="211"/>
      <c r="G611" s="211"/>
      <c r="H611" s="211"/>
    </row>
    <row r="612" spans="2:8" ht="15.75" customHeight="1" x14ac:dyDescent="0.2">
      <c r="B612" s="211"/>
      <c r="C612" s="211"/>
      <c r="D612" s="211"/>
      <c r="E612" s="211"/>
      <c r="F612" s="211"/>
      <c r="G612" s="211"/>
      <c r="H612" s="211"/>
    </row>
    <row r="613" spans="2:8" ht="15.75" customHeight="1" x14ac:dyDescent="0.2">
      <c r="B613" s="211"/>
      <c r="C613" s="211"/>
      <c r="D613" s="211"/>
      <c r="E613" s="211"/>
      <c r="F613" s="211"/>
      <c r="G613" s="211"/>
      <c r="H613" s="211"/>
    </row>
    <row r="614" spans="2:8" ht="15.75" customHeight="1" x14ac:dyDescent="0.2">
      <c r="B614" s="211"/>
      <c r="C614" s="211"/>
      <c r="D614" s="211"/>
      <c r="E614" s="211"/>
      <c r="F614" s="211"/>
      <c r="G614" s="211"/>
      <c r="H614" s="211"/>
    </row>
    <row r="615" spans="2:8" ht="15.75" customHeight="1" x14ac:dyDescent="0.2">
      <c r="B615" s="211"/>
      <c r="C615" s="211"/>
      <c r="D615" s="211"/>
      <c r="E615" s="211"/>
      <c r="F615" s="211"/>
      <c r="G615" s="211"/>
      <c r="H615" s="211"/>
    </row>
    <row r="616" spans="2:8" ht="15.75" customHeight="1" x14ac:dyDescent="0.2">
      <c r="B616" s="211"/>
      <c r="C616" s="211"/>
      <c r="D616" s="211"/>
      <c r="E616" s="211"/>
      <c r="F616" s="211"/>
      <c r="G616" s="211"/>
      <c r="H616" s="211"/>
    </row>
    <row r="617" spans="2:8" ht="15.75" customHeight="1" x14ac:dyDescent="0.2">
      <c r="B617" s="211"/>
      <c r="C617" s="211"/>
      <c r="D617" s="211"/>
      <c r="E617" s="211"/>
      <c r="F617" s="211"/>
      <c r="G617" s="211"/>
      <c r="H617" s="211"/>
    </row>
    <row r="618" spans="2:8" ht="15.75" customHeight="1" x14ac:dyDescent="0.2">
      <c r="B618" s="211"/>
      <c r="C618" s="211"/>
      <c r="D618" s="211"/>
      <c r="E618" s="211"/>
      <c r="F618" s="211"/>
      <c r="G618" s="211"/>
      <c r="H618" s="211"/>
    </row>
    <row r="619" spans="2:8" ht="15.75" customHeight="1" x14ac:dyDescent="0.2">
      <c r="B619" s="211"/>
      <c r="C619" s="211"/>
      <c r="D619" s="211"/>
      <c r="E619" s="211"/>
      <c r="F619" s="211"/>
      <c r="G619" s="211"/>
      <c r="H619" s="211"/>
    </row>
    <row r="620" spans="2:8" ht="15.75" customHeight="1" x14ac:dyDescent="0.2">
      <c r="B620" s="211"/>
      <c r="C620" s="211"/>
      <c r="D620" s="211"/>
      <c r="E620" s="211"/>
      <c r="F620" s="211"/>
      <c r="G620" s="211"/>
      <c r="H620" s="211"/>
    </row>
    <row r="621" spans="2:8" ht="15.75" customHeight="1" x14ac:dyDescent="0.2">
      <c r="B621" s="211"/>
      <c r="C621" s="211"/>
      <c r="D621" s="211"/>
      <c r="E621" s="211"/>
      <c r="F621" s="211"/>
      <c r="G621" s="211"/>
      <c r="H621" s="211"/>
    </row>
    <row r="622" spans="2:8" ht="15.75" customHeight="1" x14ac:dyDescent="0.2">
      <c r="B622" s="211"/>
      <c r="C622" s="211"/>
      <c r="D622" s="211"/>
      <c r="E622" s="211"/>
      <c r="F622" s="211"/>
      <c r="G622" s="211"/>
      <c r="H622" s="211"/>
    </row>
    <row r="623" spans="2:8" ht="15.75" customHeight="1" x14ac:dyDescent="0.2">
      <c r="B623" s="211"/>
      <c r="C623" s="211"/>
      <c r="D623" s="211"/>
      <c r="E623" s="211"/>
      <c r="F623" s="211"/>
      <c r="G623" s="211"/>
      <c r="H623" s="211"/>
    </row>
    <row r="624" spans="2:8" ht="15.75" customHeight="1" x14ac:dyDescent="0.2">
      <c r="B624" s="211"/>
      <c r="C624" s="211"/>
      <c r="D624" s="211"/>
      <c r="E624" s="211"/>
      <c r="F624" s="211"/>
      <c r="G624" s="211"/>
      <c r="H624" s="211"/>
    </row>
    <row r="625" spans="2:8" ht="15.75" customHeight="1" x14ac:dyDescent="0.2">
      <c r="B625" s="211"/>
      <c r="C625" s="211"/>
      <c r="D625" s="211"/>
      <c r="E625" s="211"/>
      <c r="F625" s="211"/>
      <c r="G625" s="211"/>
      <c r="H625" s="211"/>
    </row>
    <row r="626" spans="2:8" ht="15.75" customHeight="1" x14ac:dyDescent="0.2">
      <c r="B626" s="211"/>
      <c r="C626" s="211"/>
      <c r="D626" s="211"/>
      <c r="E626" s="211"/>
      <c r="F626" s="211"/>
      <c r="G626" s="211"/>
      <c r="H626" s="211"/>
    </row>
    <row r="627" spans="2:8" ht="15.75" customHeight="1" x14ac:dyDescent="0.2">
      <c r="B627" s="211"/>
      <c r="C627" s="211"/>
      <c r="D627" s="211"/>
      <c r="E627" s="211"/>
      <c r="F627" s="211"/>
      <c r="G627" s="211"/>
      <c r="H627" s="211"/>
    </row>
    <row r="628" spans="2:8" ht="15.75" customHeight="1" x14ac:dyDescent="0.2">
      <c r="B628" s="211"/>
      <c r="C628" s="211"/>
      <c r="D628" s="211"/>
      <c r="E628" s="211"/>
      <c r="F628" s="211"/>
      <c r="G628" s="211"/>
      <c r="H628" s="211"/>
    </row>
    <row r="629" spans="2:8" ht="15.75" customHeight="1" x14ac:dyDescent="0.2">
      <c r="B629" s="211"/>
      <c r="C629" s="211"/>
      <c r="D629" s="211"/>
      <c r="E629" s="211"/>
      <c r="F629" s="211"/>
      <c r="G629" s="211"/>
      <c r="H629" s="211"/>
    </row>
    <row r="630" spans="2:8" ht="15.75" customHeight="1" x14ac:dyDescent="0.2">
      <c r="B630" s="211"/>
      <c r="C630" s="211"/>
      <c r="D630" s="211"/>
      <c r="E630" s="211"/>
      <c r="F630" s="211"/>
      <c r="G630" s="211"/>
      <c r="H630" s="211"/>
    </row>
    <row r="631" spans="2:8" ht="15.75" customHeight="1" x14ac:dyDescent="0.2">
      <c r="B631" s="211"/>
      <c r="C631" s="211"/>
      <c r="D631" s="211"/>
      <c r="E631" s="211"/>
      <c r="F631" s="211"/>
      <c r="G631" s="211"/>
      <c r="H631" s="211"/>
    </row>
    <row r="632" spans="2:8" ht="15.75" customHeight="1" x14ac:dyDescent="0.2">
      <c r="B632" s="211"/>
      <c r="C632" s="211"/>
      <c r="D632" s="211"/>
      <c r="E632" s="211"/>
      <c r="F632" s="211"/>
      <c r="G632" s="211"/>
      <c r="H632" s="211"/>
    </row>
    <row r="633" spans="2:8" ht="15.75" customHeight="1" x14ac:dyDescent="0.2">
      <c r="B633" s="211"/>
      <c r="C633" s="211"/>
      <c r="D633" s="211"/>
      <c r="E633" s="211"/>
      <c r="F633" s="211"/>
      <c r="G633" s="211"/>
      <c r="H633" s="211"/>
    </row>
    <row r="634" spans="2:8" ht="15.75" customHeight="1" x14ac:dyDescent="0.2">
      <c r="B634" s="211"/>
      <c r="C634" s="211"/>
      <c r="D634" s="211"/>
      <c r="E634" s="211"/>
      <c r="F634" s="211"/>
      <c r="G634" s="211"/>
      <c r="H634" s="211"/>
    </row>
    <row r="635" spans="2:8" ht="15.75" customHeight="1" x14ac:dyDescent="0.2">
      <c r="B635" s="211"/>
      <c r="C635" s="211"/>
      <c r="D635" s="211"/>
      <c r="E635" s="211"/>
      <c r="F635" s="211"/>
      <c r="G635" s="211"/>
      <c r="H635" s="211"/>
    </row>
    <row r="636" spans="2:8" ht="15.75" customHeight="1" x14ac:dyDescent="0.2">
      <c r="B636" s="211"/>
      <c r="C636" s="211"/>
      <c r="D636" s="211"/>
      <c r="E636" s="211"/>
      <c r="F636" s="211"/>
      <c r="G636" s="211"/>
      <c r="H636" s="211"/>
    </row>
    <row r="637" spans="2:8" ht="15.75" customHeight="1" x14ac:dyDescent="0.2">
      <c r="B637" s="211"/>
      <c r="C637" s="211"/>
      <c r="D637" s="211"/>
      <c r="E637" s="211"/>
      <c r="F637" s="211"/>
      <c r="G637" s="211"/>
      <c r="H637" s="211"/>
    </row>
    <row r="638" spans="2:8" ht="15.75" customHeight="1" x14ac:dyDescent="0.2">
      <c r="B638" s="211"/>
      <c r="C638" s="211"/>
      <c r="D638" s="211"/>
      <c r="E638" s="211"/>
      <c r="F638" s="211"/>
      <c r="G638" s="211"/>
      <c r="H638" s="211"/>
    </row>
    <row r="639" spans="2:8" ht="15.75" customHeight="1" x14ac:dyDescent="0.2">
      <c r="B639" s="211"/>
      <c r="C639" s="211"/>
      <c r="D639" s="211"/>
      <c r="E639" s="211"/>
      <c r="F639" s="211"/>
      <c r="G639" s="211"/>
      <c r="H639" s="211"/>
    </row>
    <row r="640" spans="2:8" ht="15.75" customHeight="1" x14ac:dyDescent="0.2">
      <c r="B640" s="211"/>
      <c r="C640" s="211"/>
      <c r="D640" s="211"/>
      <c r="E640" s="211"/>
      <c r="F640" s="211"/>
      <c r="G640" s="211"/>
      <c r="H640" s="211"/>
    </row>
    <row r="641" spans="2:8" ht="15.75" customHeight="1" x14ac:dyDescent="0.2">
      <c r="B641" s="211"/>
      <c r="C641" s="211"/>
      <c r="D641" s="211"/>
      <c r="E641" s="211"/>
      <c r="F641" s="211"/>
      <c r="G641" s="211"/>
      <c r="H641" s="211"/>
    </row>
    <row r="642" spans="2:8" ht="15.75" customHeight="1" x14ac:dyDescent="0.2">
      <c r="B642" s="211"/>
      <c r="C642" s="211"/>
      <c r="D642" s="211"/>
      <c r="E642" s="211"/>
      <c r="F642" s="211"/>
      <c r="G642" s="211"/>
      <c r="H642" s="211"/>
    </row>
    <row r="643" spans="2:8" ht="15.75" customHeight="1" x14ac:dyDescent="0.2">
      <c r="B643" s="211"/>
      <c r="C643" s="211"/>
      <c r="D643" s="211"/>
      <c r="E643" s="211"/>
      <c r="F643" s="211"/>
      <c r="G643" s="211"/>
      <c r="H643" s="211"/>
    </row>
    <row r="644" spans="2:8" ht="15.75" customHeight="1" x14ac:dyDescent="0.2">
      <c r="B644" s="211"/>
      <c r="C644" s="211"/>
      <c r="D644" s="211"/>
      <c r="E644" s="211"/>
      <c r="F644" s="211"/>
      <c r="G644" s="211"/>
      <c r="H644" s="211"/>
    </row>
    <row r="645" spans="2:8" ht="15.75" customHeight="1" x14ac:dyDescent="0.2">
      <c r="B645" s="211"/>
      <c r="C645" s="211"/>
      <c r="D645" s="211"/>
      <c r="E645" s="211"/>
      <c r="F645" s="211"/>
      <c r="G645" s="211"/>
      <c r="H645" s="211"/>
    </row>
    <row r="646" spans="2:8" ht="15.75" customHeight="1" x14ac:dyDescent="0.2">
      <c r="B646" s="211"/>
      <c r="C646" s="211"/>
      <c r="D646" s="211"/>
      <c r="E646" s="211"/>
      <c r="F646" s="211"/>
      <c r="G646" s="211"/>
      <c r="H646" s="211"/>
    </row>
    <row r="647" spans="2:8" ht="15.75" customHeight="1" x14ac:dyDescent="0.2">
      <c r="B647" s="211"/>
      <c r="C647" s="211"/>
      <c r="D647" s="211"/>
      <c r="E647" s="211"/>
      <c r="F647" s="211"/>
      <c r="G647" s="211"/>
      <c r="H647" s="211"/>
    </row>
    <row r="648" spans="2:8" ht="15.75" customHeight="1" x14ac:dyDescent="0.2">
      <c r="B648" s="211"/>
      <c r="C648" s="211"/>
      <c r="D648" s="211"/>
      <c r="E648" s="211"/>
      <c r="F648" s="211"/>
      <c r="G648" s="211"/>
      <c r="H648" s="211"/>
    </row>
    <row r="649" spans="2:8" ht="15.75" customHeight="1" x14ac:dyDescent="0.2">
      <c r="B649" s="211"/>
      <c r="C649" s="211"/>
      <c r="D649" s="211"/>
      <c r="E649" s="211"/>
      <c r="F649" s="211"/>
      <c r="G649" s="211"/>
      <c r="H649" s="211"/>
    </row>
    <row r="650" spans="2:8" ht="15.75" customHeight="1" x14ac:dyDescent="0.2">
      <c r="B650" s="211"/>
      <c r="C650" s="211"/>
      <c r="D650" s="211"/>
      <c r="E650" s="211"/>
      <c r="F650" s="211"/>
      <c r="G650" s="211"/>
      <c r="H650" s="211"/>
    </row>
    <row r="651" spans="2:8" ht="15.75" customHeight="1" x14ac:dyDescent="0.2">
      <c r="B651" s="211"/>
      <c r="C651" s="211"/>
      <c r="D651" s="211"/>
      <c r="E651" s="211"/>
      <c r="F651" s="211"/>
      <c r="G651" s="211"/>
      <c r="H651" s="211"/>
    </row>
    <row r="652" spans="2:8" ht="15.75" customHeight="1" x14ac:dyDescent="0.2">
      <c r="B652" s="211"/>
      <c r="C652" s="211"/>
      <c r="D652" s="211"/>
      <c r="E652" s="211"/>
      <c r="F652" s="211"/>
      <c r="G652" s="211"/>
      <c r="H652" s="211"/>
    </row>
    <row r="653" spans="2:8" ht="15.75" customHeight="1" x14ac:dyDescent="0.2">
      <c r="B653" s="211"/>
      <c r="C653" s="211"/>
      <c r="D653" s="211"/>
      <c r="E653" s="211"/>
      <c r="F653" s="211"/>
      <c r="G653" s="211"/>
      <c r="H653" s="211"/>
    </row>
    <row r="654" spans="2:8" ht="15.75" customHeight="1" x14ac:dyDescent="0.2">
      <c r="B654" s="211"/>
      <c r="C654" s="211"/>
      <c r="D654" s="211"/>
      <c r="E654" s="211"/>
      <c r="F654" s="211"/>
      <c r="G654" s="211"/>
      <c r="H654" s="211"/>
    </row>
    <row r="655" spans="2:8" ht="15.75" customHeight="1" x14ac:dyDescent="0.2">
      <c r="B655" s="211"/>
      <c r="C655" s="211"/>
      <c r="D655" s="211"/>
      <c r="E655" s="211"/>
      <c r="F655" s="211"/>
      <c r="G655" s="211"/>
      <c r="H655" s="211"/>
    </row>
    <row r="656" spans="2:8" ht="15.75" customHeight="1" x14ac:dyDescent="0.2">
      <c r="B656" s="211"/>
      <c r="C656" s="211"/>
      <c r="D656" s="211"/>
      <c r="E656" s="211"/>
      <c r="F656" s="211"/>
      <c r="G656" s="211"/>
      <c r="H656" s="211"/>
    </row>
    <row r="657" spans="2:8" ht="15.75" customHeight="1" x14ac:dyDescent="0.2">
      <c r="B657" s="211"/>
      <c r="C657" s="211"/>
      <c r="D657" s="211"/>
      <c r="E657" s="211"/>
      <c r="F657" s="211"/>
      <c r="G657" s="211"/>
      <c r="H657" s="211"/>
    </row>
    <row r="658" spans="2:8" ht="15.75" customHeight="1" x14ac:dyDescent="0.2">
      <c r="B658" s="211"/>
      <c r="C658" s="211"/>
      <c r="D658" s="211"/>
      <c r="E658" s="211"/>
      <c r="F658" s="211"/>
      <c r="G658" s="211"/>
      <c r="H658" s="211"/>
    </row>
    <row r="659" spans="2:8" ht="15.75" customHeight="1" x14ac:dyDescent="0.2">
      <c r="B659" s="211"/>
      <c r="C659" s="211"/>
      <c r="D659" s="211"/>
      <c r="E659" s="211"/>
      <c r="F659" s="211"/>
      <c r="G659" s="211"/>
      <c r="H659" s="211"/>
    </row>
    <row r="660" spans="2:8" ht="15.75" customHeight="1" x14ac:dyDescent="0.2">
      <c r="B660" s="211"/>
      <c r="C660" s="211"/>
      <c r="D660" s="211"/>
      <c r="E660" s="211"/>
      <c r="F660" s="211"/>
      <c r="G660" s="211"/>
      <c r="H660" s="211"/>
    </row>
    <row r="661" spans="2:8" ht="15.75" customHeight="1" x14ac:dyDescent="0.2">
      <c r="B661" s="211"/>
      <c r="C661" s="211"/>
      <c r="D661" s="211"/>
      <c r="E661" s="211"/>
      <c r="F661" s="211"/>
      <c r="G661" s="211"/>
      <c r="H661" s="211"/>
    </row>
    <row r="662" spans="2:8" ht="15.75" customHeight="1" x14ac:dyDescent="0.2">
      <c r="B662" s="211"/>
      <c r="C662" s="211"/>
      <c r="D662" s="211"/>
      <c r="E662" s="211"/>
      <c r="F662" s="211"/>
      <c r="G662" s="211"/>
      <c r="H662" s="211"/>
    </row>
    <row r="663" spans="2:8" ht="15.75" customHeight="1" x14ac:dyDescent="0.2">
      <c r="B663" s="211"/>
      <c r="C663" s="211"/>
      <c r="D663" s="211"/>
      <c r="E663" s="211"/>
      <c r="F663" s="211"/>
      <c r="G663" s="211"/>
      <c r="H663" s="211"/>
    </row>
    <row r="664" spans="2:8" ht="15.75" customHeight="1" x14ac:dyDescent="0.2">
      <c r="B664" s="211"/>
      <c r="C664" s="211"/>
      <c r="D664" s="211"/>
      <c r="E664" s="211"/>
      <c r="F664" s="211"/>
      <c r="G664" s="211"/>
      <c r="H664" s="211"/>
    </row>
    <row r="665" spans="2:8" ht="15.75" customHeight="1" x14ac:dyDescent="0.2">
      <c r="B665" s="211"/>
      <c r="C665" s="211"/>
      <c r="D665" s="211"/>
      <c r="E665" s="211"/>
      <c r="F665" s="211"/>
      <c r="G665" s="211"/>
      <c r="H665" s="211"/>
    </row>
    <row r="666" spans="2:8" ht="15.75" customHeight="1" x14ac:dyDescent="0.2">
      <c r="B666" s="211"/>
      <c r="C666" s="211"/>
      <c r="D666" s="211"/>
      <c r="E666" s="211"/>
      <c r="F666" s="211"/>
      <c r="G666" s="211"/>
      <c r="H666" s="211"/>
    </row>
    <row r="667" spans="2:8" ht="15.75" customHeight="1" x14ac:dyDescent="0.2">
      <c r="B667" s="211"/>
      <c r="C667" s="211"/>
      <c r="D667" s="211"/>
      <c r="E667" s="211"/>
      <c r="F667" s="211"/>
      <c r="G667" s="211"/>
      <c r="H667" s="211"/>
    </row>
    <row r="668" spans="2:8" ht="15.75" customHeight="1" x14ac:dyDescent="0.2">
      <c r="B668" s="211"/>
      <c r="C668" s="211"/>
      <c r="D668" s="211"/>
      <c r="E668" s="211"/>
      <c r="F668" s="211"/>
      <c r="G668" s="211"/>
      <c r="H668" s="211"/>
    </row>
    <row r="669" spans="2:8" ht="15.75" customHeight="1" x14ac:dyDescent="0.2">
      <c r="B669" s="211"/>
      <c r="C669" s="211"/>
      <c r="D669" s="211"/>
      <c r="E669" s="211"/>
      <c r="F669" s="211"/>
      <c r="G669" s="211"/>
      <c r="H669" s="211"/>
    </row>
    <row r="670" spans="2:8" ht="15.75" customHeight="1" x14ac:dyDescent="0.2">
      <c r="B670" s="211"/>
      <c r="C670" s="211"/>
      <c r="D670" s="211"/>
      <c r="E670" s="211"/>
      <c r="F670" s="211"/>
      <c r="G670" s="211"/>
      <c r="H670" s="211"/>
    </row>
    <row r="671" spans="2:8" ht="15.75" customHeight="1" x14ac:dyDescent="0.2">
      <c r="B671" s="211"/>
      <c r="C671" s="211"/>
      <c r="D671" s="211"/>
      <c r="E671" s="211"/>
      <c r="F671" s="211"/>
      <c r="G671" s="211"/>
      <c r="H671" s="211"/>
    </row>
    <row r="672" spans="2:8" ht="15.75" customHeight="1" x14ac:dyDescent="0.2">
      <c r="B672" s="211"/>
      <c r="C672" s="211"/>
      <c r="D672" s="211"/>
      <c r="E672" s="211"/>
      <c r="F672" s="211"/>
      <c r="G672" s="211"/>
      <c r="H672" s="211"/>
    </row>
    <row r="673" spans="2:8" ht="15.75" customHeight="1" x14ac:dyDescent="0.2">
      <c r="B673" s="211"/>
      <c r="C673" s="211"/>
      <c r="D673" s="211"/>
      <c r="E673" s="211"/>
      <c r="F673" s="211"/>
      <c r="G673" s="211"/>
      <c r="H673" s="211"/>
    </row>
    <row r="674" spans="2:8" ht="15.75" customHeight="1" x14ac:dyDescent="0.2">
      <c r="B674" s="211"/>
      <c r="C674" s="211"/>
      <c r="D674" s="211"/>
      <c r="E674" s="211"/>
      <c r="F674" s="211"/>
      <c r="G674" s="211"/>
      <c r="H674" s="211"/>
    </row>
    <row r="675" spans="2:8" ht="15.75" customHeight="1" x14ac:dyDescent="0.2">
      <c r="B675" s="211"/>
      <c r="C675" s="211"/>
      <c r="D675" s="211"/>
      <c r="E675" s="211"/>
      <c r="F675" s="211"/>
      <c r="G675" s="211"/>
      <c r="H675" s="211"/>
    </row>
    <row r="676" spans="2:8" ht="15.75" customHeight="1" x14ac:dyDescent="0.2">
      <c r="B676" s="211"/>
      <c r="C676" s="211"/>
      <c r="D676" s="211"/>
      <c r="E676" s="211"/>
      <c r="F676" s="211"/>
      <c r="G676" s="211"/>
      <c r="H676" s="211"/>
    </row>
    <row r="677" spans="2:8" ht="15.75" customHeight="1" x14ac:dyDescent="0.2">
      <c r="B677" s="211"/>
      <c r="C677" s="211"/>
      <c r="D677" s="211"/>
      <c r="E677" s="211"/>
      <c r="F677" s="211"/>
      <c r="G677" s="211"/>
      <c r="H677" s="211"/>
    </row>
    <row r="678" spans="2:8" ht="15.75" customHeight="1" x14ac:dyDescent="0.2">
      <c r="B678" s="211"/>
      <c r="C678" s="211"/>
      <c r="D678" s="211"/>
      <c r="E678" s="211"/>
      <c r="F678" s="211"/>
      <c r="G678" s="211"/>
      <c r="H678" s="211"/>
    </row>
    <row r="679" spans="2:8" ht="15.75" customHeight="1" x14ac:dyDescent="0.2">
      <c r="B679" s="211"/>
      <c r="C679" s="211"/>
      <c r="D679" s="211"/>
      <c r="E679" s="211"/>
      <c r="F679" s="211"/>
      <c r="G679" s="211"/>
      <c r="H679" s="211"/>
    </row>
    <row r="680" spans="2:8" ht="15.75" customHeight="1" x14ac:dyDescent="0.2">
      <c r="B680" s="211"/>
      <c r="C680" s="211"/>
      <c r="D680" s="211"/>
      <c r="E680" s="211"/>
      <c r="F680" s="211"/>
      <c r="G680" s="211"/>
      <c r="H680" s="211"/>
    </row>
    <row r="681" spans="2:8" ht="15.75" customHeight="1" x14ac:dyDescent="0.2">
      <c r="B681" s="211"/>
      <c r="C681" s="211"/>
      <c r="D681" s="211"/>
      <c r="E681" s="211"/>
      <c r="F681" s="211"/>
      <c r="G681" s="211"/>
      <c r="H681" s="211"/>
    </row>
    <row r="682" spans="2:8" ht="15.75" customHeight="1" x14ac:dyDescent="0.2">
      <c r="B682" s="211"/>
      <c r="C682" s="211"/>
      <c r="D682" s="211"/>
      <c r="E682" s="211"/>
      <c r="F682" s="211"/>
      <c r="G682" s="211"/>
      <c r="H682" s="211"/>
    </row>
    <row r="683" spans="2:8" ht="15.75" customHeight="1" x14ac:dyDescent="0.2">
      <c r="B683" s="211"/>
      <c r="C683" s="211"/>
      <c r="D683" s="211"/>
      <c r="E683" s="211"/>
      <c r="F683" s="211"/>
      <c r="G683" s="211"/>
      <c r="H683" s="211"/>
    </row>
    <row r="684" spans="2:8" ht="15.75" customHeight="1" x14ac:dyDescent="0.2">
      <c r="B684" s="211"/>
      <c r="C684" s="211"/>
      <c r="D684" s="211"/>
      <c r="E684" s="211"/>
      <c r="F684" s="211"/>
      <c r="G684" s="211"/>
      <c r="H684" s="211"/>
    </row>
    <row r="685" spans="2:8" ht="15.75" customHeight="1" x14ac:dyDescent="0.2">
      <c r="B685" s="211"/>
      <c r="C685" s="211"/>
      <c r="D685" s="211"/>
      <c r="E685" s="211"/>
      <c r="F685" s="211"/>
      <c r="G685" s="211"/>
      <c r="H685" s="211"/>
    </row>
    <row r="686" spans="2:8" ht="15.75" customHeight="1" x14ac:dyDescent="0.2">
      <c r="B686" s="211"/>
      <c r="C686" s="211"/>
      <c r="D686" s="211"/>
      <c r="E686" s="211"/>
      <c r="F686" s="211"/>
      <c r="G686" s="211"/>
      <c r="H686" s="211"/>
    </row>
    <row r="687" spans="2:8" ht="15.75" customHeight="1" x14ac:dyDescent="0.2">
      <c r="B687" s="211"/>
      <c r="C687" s="211"/>
      <c r="D687" s="211"/>
      <c r="E687" s="211"/>
      <c r="F687" s="211"/>
      <c r="G687" s="211"/>
      <c r="H687" s="211"/>
    </row>
    <row r="688" spans="2:8" ht="15.75" customHeight="1" x14ac:dyDescent="0.2">
      <c r="B688" s="211"/>
      <c r="C688" s="211"/>
      <c r="D688" s="211"/>
      <c r="E688" s="211"/>
      <c r="F688" s="211"/>
      <c r="G688" s="211"/>
      <c r="H688" s="211"/>
    </row>
    <row r="689" spans="2:8" ht="15.75" customHeight="1" x14ac:dyDescent="0.2">
      <c r="B689" s="211"/>
      <c r="C689" s="211"/>
      <c r="D689" s="211"/>
      <c r="E689" s="211"/>
      <c r="F689" s="211"/>
      <c r="G689" s="211"/>
      <c r="H689" s="211"/>
    </row>
    <row r="690" spans="2:8" ht="15.75" customHeight="1" x14ac:dyDescent="0.2">
      <c r="B690" s="211"/>
      <c r="C690" s="211"/>
      <c r="D690" s="211"/>
      <c r="E690" s="211"/>
      <c r="F690" s="211"/>
      <c r="G690" s="211"/>
      <c r="H690" s="211"/>
    </row>
    <row r="691" spans="2:8" ht="15.75" customHeight="1" x14ac:dyDescent="0.2">
      <c r="B691" s="211"/>
      <c r="C691" s="211"/>
      <c r="D691" s="211"/>
      <c r="E691" s="211"/>
      <c r="F691" s="211"/>
      <c r="G691" s="211"/>
      <c r="H691" s="211"/>
    </row>
    <row r="692" spans="2:8" ht="15.75" customHeight="1" x14ac:dyDescent="0.2">
      <c r="B692" s="211"/>
      <c r="C692" s="211"/>
      <c r="D692" s="211"/>
      <c r="E692" s="211"/>
      <c r="F692" s="211"/>
      <c r="G692" s="211"/>
      <c r="H692" s="211"/>
    </row>
    <row r="693" spans="2:8" ht="15.75" customHeight="1" x14ac:dyDescent="0.2">
      <c r="B693" s="211"/>
      <c r="C693" s="211"/>
      <c r="D693" s="211"/>
      <c r="E693" s="211"/>
      <c r="F693" s="211"/>
      <c r="G693" s="211"/>
      <c r="H693" s="211"/>
    </row>
    <row r="694" spans="2:8" ht="15.75" customHeight="1" x14ac:dyDescent="0.2">
      <c r="B694" s="211"/>
      <c r="C694" s="211"/>
      <c r="D694" s="211"/>
      <c r="E694" s="211"/>
      <c r="F694" s="211"/>
      <c r="G694" s="211"/>
      <c r="H694" s="211"/>
    </row>
    <row r="695" spans="2:8" ht="15.75" customHeight="1" x14ac:dyDescent="0.2">
      <c r="B695" s="211"/>
      <c r="C695" s="211"/>
      <c r="D695" s="211"/>
      <c r="E695" s="211"/>
      <c r="F695" s="211"/>
      <c r="G695" s="211"/>
      <c r="H695" s="211"/>
    </row>
    <row r="696" spans="2:8" ht="15.75" customHeight="1" x14ac:dyDescent="0.2">
      <c r="B696" s="211"/>
      <c r="C696" s="211"/>
      <c r="D696" s="211"/>
      <c r="E696" s="211"/>
      <c r="F696" s="211"/>
      <c r="G696" s="211"/>
      <c r="H696" s="211"/>
    </row>
    <row r="697" spans="2:8" ht="15.75" customHeight="1" x14ac:dyDescent="0.2">
      <c r="B697" s="211"/>
      <c r="C697" s="211"/>
      <c r="D697" s="211"/>
      <c r="E697" s="211"/>
      <c r="F697" s="211"/>
      <c r="G697" s="211"/>
      <c r="H697" s="211"/>
    </row>
    <row r="698" spans="2:8" ht="15.75" customHeight="1" x14ac:dyDescent="0.2">
      <c r="B698" s="211"/>
      <c r="C698" s="211"/>
      <c r="D698" s="211"/>
      <c r="E698" s="211"/>
      <c r="F698" s="211"/>
      <c r="G698" s="211"/>
      <c r="H698" s="211"/>
    </row>
    <row r="699" spans="2:8" ht="15.75" customHeight="1" x14ac:dyDescent="0.2">
      <c r="B699" s="211"/>
      <c r="C699" s="211"/>
      <c r="D699" s="211"/>
      <c r="E699" s="211"/>
      <c r="F699" s="211"/>
      <c r="G699" s="211"/>
      <c r="H699" s="211"/>
    </row>
    <row r="700" spans="2:8" ht="15.75" customHeight="1" x14ac:dyDescent="0.2">
      <c r="B700" s="211"/>
      <c r="C700" s="211"/>
      <c r="D700" s="211"/>
      <c r="E700" s="211"/>
      <c r="F700" s="211"/>
      <c r="G700" s="211"/>
      <c r="H700" s="211"/>
    </row>
    <row r="701" spans="2:8" ht="15.75" customHeight="1" x14ac:dyDescent="0.2">
      <c r="B701" s="211"/>
      <c r="C701" s="211"/>
      <c r="D701" s="211"/>
      <c r="E701" s="211"/>
      <c r="F701" s="211"/>
      <c r="G701" s="211"/>
      <c r="H701" s="211"/>
    </row>
    <row r="702" spans="2:8" ht="15.75" customHeight="1" x14ac:dyDescent="0.2">
      <c r="B702" s="211"/>
      <c r="C702" s="211"/>
      <c r="D702" s="211"/>
      <c r="E702" s="211"/>
      <c r="F702" s="211"/>
      <c r="G702" s="211"/>
      <c r="H702" s="211"/>
    </row>
    <row r="703" spans="2:8" ht="15.75" customHeight="1" x14ac:dyDescent="0.2">
      <c r="B703" s="211"/>
      <c r="C703" s="211"/>
      <c r="D703" s="211"/>
      <c r="E703" s="211"/>
      <c r="F703" s="211"/>
      <c r="G703" s="211"/>
      <c r="H703" s="211"/>
    </row>
    <row r="704" spans="2:8" ht="15.75" customHeight="1" x14ac:dyDescent="0.2">
      <c r="B704" s="211"/>
      <c r="C704" s="211"/>
      <c r="D704" s="211"/>
      <c r="E704" s="211"/>
      <c r="F704" s="211"/>
      <c r="G704" s="211"/>
      <c r="H704" s="211"/>
    </row>
    <row r="705" spans="2:8" ht="15.75" customHeight="1" x14ac:dyDescent="0.2">
      <c r="B705" s="211"/>
      <c r="C705" s="211"/>
      <c r="D705" s="211"/>
      <c r="E705" s="211"/>
      <c r="F705" s="211"/>
      <c r="G705" s="211"/>
      <c r="H705" s="211"/>
    </row>
    <row r="706" spans="2:8" ht="15.75" customHeight="1" x14ac:dyDescent="0.2">
      <c r="B706" s="211"/>
      <c r="C706" s="211"/>
      <c r="D706" s="211"/>
      <c r="E706" s="211"/>
      <c r="F706" s="211"/>
      <c r="G706" s="211"/>
      <c r="H706" s="211"/>
    </row>
    <row r="707" spans="2:8" ht="15.75" customHeight="1" x14ac:dyDescent="0.2">
      <c r="B707" s="211"/>
      <c r="C707" s="211"/>
      <c r="D707" s="211"/>
      <c r="E707" s="211"/>
      <c r="F707" s="211"/>
      <c r="G707" s="211"/>
      <c r="H707" s="211"/>
    </row>
    <row r="708" spans="2:8" ht="15.75" customHeight="1" x14ac:dyDescent="0.2">
      <c r="B708" s="211"/>
      <c r="C708" s="211"/>
      <c r="D708" s="211"/>
      <c r="E708" s="211"/>
      <c r="F708" s="211"/>
      <c r="G708" s="211"/>
      <c r="H708" s="211"/>
    </row>
    <row r="709" spans="2:8" ht="15.75" customHeight="1" x14ac:dyDescent="0.2">
      <c r="B709" s="211"/>
      <c r="C709" s="211"/>
      <c r="D709" s="211"/>
      <c r="E709" s="211"/>
      <c r="F709" s="211"/>
      <c r="G709" s="211"/>
      <c r="H709" s="211"/>
    </row>
    <row r="710" spans="2:8" ht="15.75" customHeight="1" x14ac:dyDescent="0.2">
      <c r="B710" s="211"/>
      <c r="C710" s="211"/>
      <c r="D710" s="211"/>
      <c r="E710" s="211"/>
      <c r="F710" s="211"/>
      <c r="G710" s="211"/>
      <c r="H710" s="211"/>
    </row>
    <row r="711" spans="2:8" ht="15.75" customHeight="1" x14ac:dyDescent="0.2">
      <c r="B711" s="211"/>
      <c r="C711" s="211"/>
      <c r="D711" s="211"/>
      <c r="E711" s="211"/>
      <c r="F711" s="211"/>
      <c r="G711" s="211"/>
      <c r="H711" s="211"/>
    </row>
    <row r="712" spans="2:8" ht="15.75" customHeight="1" x14ac:dyDescent="0.2">
      <c r="B712" s="211"/>
      <c r="C712" s="211"/>
      <c r="D712" s="211"/>
      <c r="E712" s="211"/>
      <c r="F712" s="211"/>
      <c r="G712" s="211"/>
      <c r="H712" s="211"/>
    </row>
    <row r="713" spans="2:8" ht="15.75" customHeight="1" x14ac:dyDescent="0.2">
      <c r="B713" s="211"/>
      <c r="C713" s="211"/>
      <c r="D713" s="211"/>
      <c r="E713" s="211"/>
      <c r="F713" s="211"/>
      <c r="G713" s="211"/>
      <c r="H713" s="211"/>
    </row>
    <row r="714" spans="2:8" ht="15.75" customHeight="1" x14ac:dyDescent="0.2">
      <c r="B714" s="211"/>
      <c r="C714" s="211"/>
      <c r="D714" s="211"/>
      <c r="E714" s="211"/>
      <c r="F714" s="211"/>
      <c r="G714" s="211"/>
      <c r="H714" s="211"/>
    </row>
    <row r="715" spans="2:8" ht="15.75" customHeight="1" x14ac:dyDescent="0.2">
      <c r="B715" s="211"/>
      <c r="C715" s="211"/>
      <c r="D715" s="211"/>
      <c r="E715" s="211"/>
      <c r="F715" s="211"/>
      <c r="G715" s="211"/>
      <c r="H715" s="211"/>
    </row>
    <row r="716" spans="2:8" ht="15.75" customHeight="1" x14ac:dyDescent="0.2">
      <c r="B716" s="211"/>
      <c r="C716" s="211"/>
      <c r="D716" s="211"/>
      <c r="E716" s="211"/>
      <c r="F716" s="211"/>
      <c r="G716" s="211"/>
      <c r="H716" s="211"/>
    </row>
    <row r="717" spans="2:8" ht="15.75" customHeight="1" x14ac:dyDescent="0.2">
      <c r="B717" s="211"/>
      <c r="C717" s="211"/>
      <c r="D717" s="211"/>
      <c r="E717" s="211"/>
      <c r="F717" s="211"/>
      <c r="G717" s="211"/>
      <c r="H717" s="211"/>
    </row>
    <row r="718" spans="2:8" ht="15.75" customHeight="1" x14ac:dyDescent="0.2">
      <c r="B718" s="211"/>
      <c r="C718" s="211"/>
      <c r="D718" s="211"/>
      <c r="E718" s="211"/>
      <c r="F718" s="211"/>
      <c r="G718" s="211"/>
      <c r="H718" s="211"/>
    </row>
    <row r="719" spans="2:8" ht="15.75" customHeight="1" x14ac:dyDescent="0.2">
      <c r="B719" s="211"/>
      <c r="C719" s="211"/>
      <c r="D719" s="211"/>
      <c r="E719" s="211"/>
      <c r="F719" s="211"/>
      <c r="G719" s="211"/>
      <c r="H719" s="211"/>
    </row>
    <row r="720" spans="2:8" ht="15.75" customHeight="1" x14ac:dyDescent="0.2">
      <c r="B720" s="211"/>
      <c r="C720" s="211"/>
      <c r="D720" s="211"/>
      <c r="E720" s="211"/>
      <c r="F720" s="211"/>
      <c r="G720" s="211"/>
      <c r="H720" s="211"/>
    </row>
    <row r="721" spans="2:8" ht="15.75" customHeight="1" x14ac:dyDescent="0.2">
      <c r="B721" s="211"/>
      <c r="C721" s="211"/>
      <c r="D721" s="211"/>
      <c r="E721" s="211"/>
      <c r="F721" s="211"/>
      <c r="G721" s="211"/>
      <c r="H721" s="211"/>
    </row>
    <row r="722" spans="2:8" ht="15.75" customHeight="1" x14ac:dyDescent="0.2">
      <c r="B722" s="211"/>
      <c r="C722" s="211"/>
      <c r="D722" s="211"/>
      <c r="E722" s="211"/>
      <c r="F722" s="211"/>
      <c r="G722" s="211"/>
      <c r="H722" s="211"/>
    </row>
    <row r="723" spans="2:8" ht="15.75" customHeight="1" x14ac:dyDescent="0.2">
      <c r="B723" s="211"/>
      <c r="C723" s="211"/>
      <c r="D723" s="211"/>
      <c r="E723" s="211"/>
      <c r="F723" s="211"/>
      <c r="G723" s="211"/>
      <c r="H723" s="211"/>
    </row>
    <row r="724" spans="2:8" ht="15.75" customHeight="1" x14ac:dyDescent="0.2">
      <c r="B724" s="211"/>
      <c r="C724" s="211"/>
      <c r="D724" s="211"/>
      <c r="E724" s="211"/>
      <c r="F724" s="211"/>
      <c r="G724" s="211"/>
      <c r="H724" s="211"/>
    </row>
    <row r="725" spans="2:8" ht="15.75" customHeight="1" x14ac:dyDescent="0.2">
      <c r="B725" s="211"/>
      <c r="C725" s="211"/>
      <c r="D725" s="211"/>
      <c r="E725" s="211"/>
      <c r="F725" s="211"/>
      <c r="G725" s="211"/>
      <c r="H725" s="211"/>
    </row>
    <row r="726" spans="2:8" ht="15.75" customHeight="1" x14ac:dyDescent="0.2">
      <c r="B726" s="211"/>
      <c r="C726" s="211"/>
      <c r="D726" s="211"/>
      <c r="E726" s="211"/>
      <c r="F726" s="211"/>
      <c r="G726" s="211"/>
      <c r="H726" s="211"/>
    </row>
    <row r="727" spans="2:8" ht="15.75" customHeight="1" x14ac:dyDescent="0.2">
      <c r="B727" s="211"/>
      <c r="C727" s="211"/>
      <c r="D727" s="211"/>
      <c r="E727" s="211"/>
      <c r="F727" s="211"/>
      <c r="G727" s="211"/>
      <c r="H727" s="211"/>
    </row>
    <row r="728" spans="2:8" ht="15.75" customHeight="1" x14ac:dyDescent="0.2">
      <c r="B728" s="211"/>
      <c r="C728" s="211"/>
      <c r="D728" s="211"/>
      <c r="E728" s="211"/>
      <c r="F728" s="211"/>
      <c r="G728" s="211"/>
      <c r="H728" s="211"/>
    </row>
    <row r="729" spans="2:8" ht="15.75" customHeight="1" x14ac:dyDescent="0.2">
      <c r="B729" s="211"/>
      <c r="C729" s="211"/>
      <c r="D729" s="211"/>
      <c r="E729" s="211"/>
      <c r="F729" s="211"/>
      <c r="G729" s="211"/>
      <c r="H729" s="211"/>
    </row>
    <row r="730" spans="2:8" ht="15.75" customHeight="1" x14ac:dyDescent="0.2">
      <c r="B730" s="211"/>
      <c r="C730" s="211"/>
      <c r="D730" s="211"/>
      <c r="E730" s="211"/>
      <c r="F730" s="211"/>
      <c r="G730" s="211"/>
      <c r="H730" s="211"/>
    </row>
    <row r="731" spans="2:8" ht="15.75" customHeight="1" x14ac:dyDescent="0.2">
      <c r="B731" s="211"/>
      <c r="C731" s="211"/>
      <c r="D731" s="211"/>
      <c r="E731" s="211"/>
      <c r="F731" s="211"/>
      <c r="G731" s="211"/>
      <c r="H731" s="211"/>
    </row>
    <row r="732" spans="2:8" ht="15.75" customHeight="1" x14ac:dyDescent="0.2">
      <c r="B732" s="211"/>
      <c r="C732" s="211"/>
      <c r="D732" s="211"/>
      <c r="E732" s="211"/>
      <c r="F732" s="211"/>
      <c r="G732" s="211"/>
      <c r="H732" s="211"/>
    </row>
    <row r="733" spans="2:8" ht="15.75" customHeight="1" x14ac:dyDescent="0.2">
      <c r="B733" s="211"/>
      <c r="C733" s="211"/>
      <c r="D733" s="211"/>
      <c r="E733" s="211"/>
      <c r="F733" s="211"/>
      <c r="G733" s="211"/>
      <c r="H733" s="211"/>
    </row>
    <row r="734" spans="2:8" ht="15.75" customHeight="1" x14ac:dyDescent="0.2">
      <c r="B734" s="211"/>
      <c r="C734" s="211"/>
      <c r="D734" s="211"/>
      <c r="E734" s="211"/>
      <c r="F734" s="211"/>
      <c r="G734" s="211"/>
      <c r="H734" s="211"/>
    </row>
    <row r="735" spans="2:8" ht="15.75" customHeight="1" x14ac:dyDescent="0.2">
      <c r="B735" s="211"/>
      <c r="C735" s="211"/>
      <c r="D735" s="211"/>
      <c r="E735" s="211"/>
      <c r="F735" s="211"/>
      <c r="G735" s="211"/>
      <c r="H735" s="211"/>
    </row>
    <row r="736" spans="2:8" ht="15.75" customHeight="1" x14ac:dyDescent="0.2">
      <c r="B736" s="211"/>
      <c r="C736" s="211"/>
      <c r="D736" s="211"/>
      <c r="E736" s="211"/>
      <c r="F736" s="211"/>
      <c r="G736" s="211"/>
      <c r="H736" s="211"/>
    </row>
    <row r="737" spans="2:8" ht="15.75" customHeight="1" x14ac:dyDescent="0.2">
      <c r="B737" s="211"/>
      <c r="C737" s="211"/>
      <c r="D737" s="211"/>
      <c r="E737" s="211"/>
      <c r="F737" s="211"/>
      <c r="G737" s="211"/>
      <c r="H737" s="211"/>
    </row>
    <row r="738" spans="2:8" ht="15.75" customHeight="1" x14ac:dyDescent="0.2">
      <c r="B738" s="211"/>
      <c r="C738" s="211"/>
      <c r="D738" s="211"/>
      <c r="E738" s="211"/>
      <c r="F738" s="211"/>
      <c r="G738" s="211"/>
      <c r="H738" s="211"/>
    </row>
    <row r="739" spans="2:8" ht="15.75" customHeight="1" x14ac:dyDescent="0.2">
      <c r="B739" s="211"/>
      <c r="C739" s="211"/>
      <c r="D739" s="211"/>
      <c r="E739" s="211"/>
      <c r="F739" s="211"/>
      <c r="G739" s="211"/>
      <c r="H739" s="211"/>
    </row>
    <row r="740" spans="2:8" ht="15.75" customHeight="1" x14ac:dyDescent="0.2">
      <c r="B740" s="211"/>
      <c r="C740" s="211"/>
      <c r="D740" s="211"/>
      <c r="E740" s="211"/>
      <c r="F740" s="211"/>
      <c r="G740" s="211"/>
      <c r="H740" s="211"/>
    </row>
    <row r="741" spans="2:8" ht="15.75" customHeight="1" x14ac:dyDescent="0.2">
      <c r="B741" s="211"/>
      <c r="C741" s="211"/>
      <c r="D741" s="211"/>
      <c r="E741" s="211"/>
      <c r="F741" s="211"/>
      <c r="G741" s="211"/>
      <c r="H741" s="211"/>
    </row>
    <row r="742" spans="2:8" ht="15.75" customHeight="1" x14ac:dyDescent="0.2">
      <c r="B742" s="211"/>
      <c r="C742" s="211"/>
      <c r="D742" s="211"/>
      <c r="E742" s="211"/>
      <c r="F742" s="211"/>
      <c r="G742" s="211"/>
      <c r="H742" s="211"/>
    </row>
    <row r="743" spans="2:8" ht="15.75" customHeight="1" x14ac:dyDescent="0.2">
      <c r="B743" s="211"/>
      <c r="C743" s="211"/>
      <c r="D743" s="211"/>
      <c r="E743" s="211"/>
      <c r="F743" s="211"/>
      <c r="G743" s="211"/>
      <c r="H743" s="211"/>
    </row>
    <row r="744" spans="2:8" ht="15.75" customHeight="1" x14ac:dyDescent="0.2">
      <c r="B744" s="211"/>
      <c r="C744" s="211"/>
      <c r="D744" s="211"/>
      <c r="E744" s="211"/>
      <c r="F744" s="211"/>
      <c r="G744" s="211"/>
      <c r="H744" s="211"/>
    </row>
    <row r="745" spans="2:8" ht="15.75" customHeight="1" x14ac:dyDescent="0.2">
      <c r="B745" s="211"/>
      <c r="C745" s="211"/>
      <c r="D745" s="211"/>
      <c r="E745" s="211"/>
      <c r="F745" s="211"/>
      <c r="G745" s="211"/>
      <c r="H745" s="211"/>
    </row>
    <row r="746" spans="2:8" ht="15.75" customHeight="1" x14ac:dyDescent="0.2">
      <c r="B746" s="211"/>
      <c r="C746" s="211"/>
      <c r="D746" s="211"/>
      <c r="E746" s="211"/>
      <c r="F746" s="211"/>
      <c r="G746" s="211"/>
      <c r="H746" s="211"/>
    </row>
    <row r="747" spans="2:8" ht="15.75" customHeight="1" x14ac:dyDescent="0.2">
      <c r="B747" s="211"/>
      <c r="C747" s="211"/>
      <c r="D747" s="211"/>
      <c r="E747" s="211"/>
      <c r="F747" s="211"/>
      <c r="G747" s="211"/>
      <c r="H747" s="211"/>
    </row>
    <row r="748" spans="2:8" ht="15.75" customHeight="1" x14ac:dyDescent="0.2">
      <c r="B748" s="211"/>
      <c r="C748" s="211"/>
      <c r="D748" s="211"/>
      <c r="E748" s="211"/>
      <c r="F748" s="211"/>
      <c r="G748" s="211"/>
      <c r="H748" s="211"/>
    </row>
    <row r="749" spans="2:8" ht="15.75" customHeight="1" x14ac:dyDescent="0.2">
      <c r="B749" s="211"/>
      <c r="C749" s="211"/>
      <c r="D749" s="211"/>
      <c r="E749" s="211"/>
      <c r="F749" s="211"/>
      <c r="G749" s="211"/>
      <c r="H749" s="211"/>
    </row>
    <row r="750" spans="2:8" ht="15.75" customHeight="1" x14ac:dyDescent="0.2">
      <c r="B750" s="211"/>
      <c r="C750" s="211"/>
      <c r="D750" s="211"/>
      <c r="E750" s="211"/>
      <c r="F750" s="211"/>
      <c r="G750" s="211"/>
      <c r="H750" s="211"/>
    </row>
    <row r="751" spans="2:8" ht="15.75" customHeight="1" x14ac:dyDescent="0.2">
      <c r="B751" s="211"/>
      <c r="C751" s="211"/>
      <c r="D751" s="211"/>
      <c r="E751" s="211"/>
      <c r="F751" s="211"/>
      <c r="G751" s="211"/>
      <c r="H751" s="211"/>
    </row>
    <row r="752" spans="2:8" ht="15.75" customHeight="1" x14ac:dyDescent="0.2">
      <c r="B752" s="211"/>
      <c r="C752" s="211"/>
      <c r="D752" s="211"/>
      <c r="E752" s="211"/>
      <c r="F752" s="211"/>
      <c r="G752" s="211"/>
      <c r="H752" s="211"/>
    </row>
    <row r="753" spans="2:8" ht="15.75" customHeight="1" x14ac:dyDescent="0.2">
      <c r="B753" s="211"/>
      <c r="C753" s="211"/>
      <c r="D753" s="211"/>
      <c r="E753" s="211"/>
      <c r="F753" s="211"/>
      <c r="G753" s="211"/>
      <c r="H753" s="211"/>
    </row>
    <row r="754" spans="2:8" ht="15.75" customHeight="1" x14ac:dyDescent="0.2">
      <c r="B754" s="211"/>
      <c r="C754" s="211"/>
      <c r="D754" s="211"/>
      <c r="E754" s="211"/>
      <c r="F754" s="211"/>
      <c r="G754" s="211"/>
      <c r="H754" s="211"/>
    </row>
    <row r="755" spans="2:8" ht="15.75" customHeight="1" x14ac:dyDescent="0.2">
      <c r="B755" s="211"/>
      <c r="C755" s="211"/>
      <c r="D755" s="211"/>
      <c r="E755" s="211"/>
      <c r="F755" s="211"/>
      <c r="G755" s="211"/>
      <c r="H755" s="211"/>
    </row>
    <row r="756" spans="2:8" ht="15.75" customHeight="1" x14ac:dyDescent="0.2">
      <c r="B756" s="211"/>
      <c r="C756" s="211"/>
      <c r="D756" s="211"/>
      <c r="E756" s="211"/>
      <c r="F756" s="211"/>
      <c r="G756" s="211"/>
      <c r="H756" s="211"/>
    </row>
    <row r="757" spans="2:8" ht="15.75" customHeight="1" x14ac:dyDescent="0.2">
      <c r="B757" s="211"/>
      <c r="C757" s="211"/>
      <c r="D757" s="211"/>
      <c r="E757" s="211"/>
      <c r="F757" s="211"/>
      <c r="G757" s="211"/>
      <c r="H757" s="211"/>
    </row>
    <row r="758" spans="2:8" ht="15.75" customHeight="1" x14ac:dyDescent="0.2">
      <c r="B758" s="211"/>
      <c r="C758" s="211"/>
      <c r="D758" s="211"/>
      <c r="E758" s="211"/>
      <c r="F758" s="211"/>
      <c r="G758" s="211"/>
      <c r="H758" s="211"/>
    </row>
    <row r="759" spans="2:8" ht="15.75" customHeight="1" x14ac:dyDescent="0.2">
      <c r="B759" s="211"/>
      <c r="C759" s="211"/>
      <c r="D759" s="211"/>
      <c r="E759" s="211"/>
      <c r="F759" s="211"/>
      <c r="G759" s="211"/>
      <c r="H759" s="211"/>
    </row>
    <row r="760" spans="2:8" ht="15.75" customHeight="1" x14ac:dyDescent="0.2">
      <c r="B760" s="211"/>
      <c r="C760" s="211"/>
      <c r="D760" s="211"/>
      <c r="E760" s="211"/>
      <c r="F760" s="211"/>
      <c r="G760" s="211"/>
      <c r="H760" s="211"/>
    </row>
    <row r="761" spans="2:8" ht="15.75" customHeight="1" x14ac:dyDescent="0.2">
      <c r="B761" s="211"/>
      <c r="C761" s="211"/>
      <c r="D761" s="211"/>
      <c r="E761" s="211"/>
      <c r="F761" s="211"/>
      <c r="G761" s="211"/>
      <c r="H761" s="211"/>
    </row>
    <row r="762" spans="2:8" ht="15.75" customHeight="1" x14ac:dyDescent="0.2">
      <c r="B762" s="211"/>
      <c r="C762" s="211"/>
      <c r="D762" s="211"/>
      <c r="E762" s="211"/>
      <c r="F762" s="211"/>
      <c r="G762" s="211"/>
      <c r="H762" s="211"/>
    </row>
    <row r="763" spans="2:8" ht="15.75" customHeight="1" x14ac:dyDescent="0.2">
      <c r="B763" s="211"/>
      <c r="C763" s="211"/>
      <c r="D763" s="211"/>
      <c r="E763" s="211"/>
      <c r="F763" s="211"/>
      <c r="G763" s="211"/>
      <c r="H763" s="211"/>
    </row>
    <row r="764" spans="2:8" ht="15.75" customHeight="1" x14ac:dyDescent="0.2">
      <c r="B764" s="211"/>
      <c r="C764" s="211"/>
      <c r="D764" s="211"/>
      <c r="E764" s="211"/>
      <c r="F764" s="211"/>
      <c r="G764" s="211"/>
      <c r="H764" s="211"/>
    </row>
    <row r="765" spans="2:8" ht="15.75" customHeight="1" x14ac:dyDescent="0.2">
      <c r="B765" s="211"/>
      <c r="C765" s="211"/>
      <c r="D765" s="211"/>
      <c r="E765" s="211"/>
      <c r="F765" s="211"/>
      <c r="G765" s="211"/>
      <c r="H765" s="211"/>
    </row>
    <row r="766" spans="2:8" ht="15.75" customHeight="1" x14ac:dyDescent="0.2">
      <c r="B766" s="211"/>
      <c r="C766" s="211"/>
      <c r="D766" s="211"/>
      <c r="E766" s="211"/>
      <c r="F766" s="211"/>
      <c r="G766" s="211"/>
      <c r="H766" s="211"/>
    </row>
    <row r="767" spans="2:8" ht="15.75" customHeight="1" x14ac:dyDescent="0.2">
      <c r="B767" s="211"/>
      <c r="C767" s="211"/>
      <c r="D767" s="211"/>
      <c r="E767" s="211"/>
      <c r="F767" s="211"/>
      <c r="G767" s="211"/>
      <c r="H767" s="211"/>
    </row>
    <row r="768" spans="2:8" ht="15.75" customHeight="1" x14ac:dyDescent="0.2">
      <c r="B768" s="211"/>
      <c r="C768" s="211"/>
      <c r="D768" s="211"/>
      <c r="E768" s="211"/>
      <c r="F768" s="211"/>
      <c r="G768" s="211"/>
      <c r="H768" s="211"/>
    </row>
    <row r="769" spans="2:8" ht="15.75" customHeight="1" x14ac:dyDescent="0.2">
      <c r="B769" s="211"/>
      <c r="C769" s="211"/>
      <c r="D769" s="211"/>
      <c r="E769" s="211"/>
      <c r="F769" s="211"/>
      <c r="G769" s="211"/>
      <c r="H769" s="211"/>
    </row>
    <row r="770" spans="2:8" ht="15.75" customHeight="1" x14ac:dyDescent="0.2">
      <c r="B770" s="211"/>
      <c r="C770" s="211"/>
      <c r="D770" s="211"/>
      <c r="E770" s="211"/>
      <c r="F770" s="211"/>
      <c r="G770" s="211"/>
      <c r="H770" s="211"/>
    </row>
    <row r="771" spans="2:8" ht="15.75" customHeight="1" x14ac:dyDescent="0.2">
      <c r="B771" s="211"/>
      <c r="C771" s="211"/>
      <c r="D771" s="211"/>
      <c r="E771" s="211"/>
      <c r="F771" s="211"/>
      <c r="G771" s="211"/>
      <c r="H771" s="211"/>
    </row>
    <row r="772" spans="2:8" ht="15.75" customHeight="1" x14ac:dyDescent="0.2">
      <c r="B772" s="211"/>
      <c r="C772" s="211"/>
      <c r="D772" s="211"/>
      <c r="E772" s="211"/>
      <c r="F772" s="211"/>
      <c r="G772" s="211"/>
      <c r="H772" s="211"/>
    </row>
    <row r="773" spans="2:8" ht="15.75" customHeight="1" x14ac:dyDescent="0.2">
      <c r="B773" s="211"/>
      <c r="C773" s="211"/>
      <c r="D773" s="211"/>
      <c r="E773" s="211"/>
      <c r="F773" s="211"/>
      <c r="G773" s="211"/>
      <c r="H773" s="211"/>
    </row>
    <row r="774" spans="2:8" ht="15.75" customHeight="1" x14ac:dyDescent="0.2">
      <c r="B774" s="211"/>
      <c r="C774" s="211"/>
      <c r="D774" s="211"/>
      <c r="E774" s="211"/>
      <c r="F774" s="211"/>
      <c r="G774" s="211"/>
      <c r="H774" s="211"/>
    </row>
    <row r="775" spans="2:8" ht="15.75" customHeight="1" x14ac:dyDescent="0.2">
      <c r="B775" s="211"/>
      <c r="C775" s="211"/>
      <c r="D775" s="211"/>
      <c r="E775" s="211"/>
      <c r="F775" s="211"/>
      <c r="G775" s="211"/>
      <c r="H775" s="211"/>
    </row>
    <row r="776" spans="2:8" ht="15.75" customHeight="1" x14ac:dyDescent="0.2">
      <c r="B776" s="211"/>
      <c r="C776" s="211"/>
      <c r="D776" s="211"/>
      <c r="E776" s="211"/>
      <c r="F776" s="211"/>
      <c r="G776" s="211"/>
      <c r="H776" s="211"/>
    </row>
    <row r="777" spans="2:8" ht="15.75" customHeight="1" x14ac:dyDescent="0.2">
      <c r="B777" s="211"/>
      <c r="C777" s="211"/>
      <c r="D777" s="211"/>
      <c r="E777" s="211"/>
      <c r="F777" s="211"/>
      <c r="G777" s="211"/>
      <c r="H777" s="211"/>
    </row>
    <row r="778" spans="2:8" ht="15.75" customHeight="1" x14ac:dyDescent="0.2">
      <c r="B778" s="211"/>
      <c r="C778" s="211"/>
      <c r="D778" s="211"/>
      <c r="E778" s="211"/>
      <c r="F778" s="211"/>
      <c r="G778" s="211"/>
      <c r="H778" s="211"/>
    </row>
    <row r="779" spans="2:8" ht="15.75" customHeight="1" x14ac:dyDescent="0.2">
      <c r="B779" s="211"/>
      <c r="C779" s="211"/>
      <c r="D779" s="211"/>
      <c r="E779" s="211"/>
      <c r="F779" s="211"/>
      <c r="G779" s="211"/>
      <c r="H779" s="211"/>
    </row>
    <row r="780" spans="2:8" ht="15.75" customHeight="1" x14ac:dyDescent="0.2">
      <c r="B780" s="211"/>
      <c r="C780" s="211"/>
      <c r="D780" s="211"/>
      <c r="E780" s="211"/>
      <c r="F780" s="211"/>
      <c r="G780" s="211"/>
      <c r="H780" s="211"/>
    </row>
    <row r="781" spans="2:8" ht="15.75" customHeight="1" x14ac:dyDescent="0.2">
      <c r="B781" s="211"/>
      <c r="C781" s="211"/>
      <c r="D781" s="211"/>
      <c r="E781" s="211"/>
      <c r="F781" s="211"/>
      <c r="G781" s="211"/>
      <c r="H781" s="211"/>
    </row>
    <row r="782" spans="2:8" ht="15.75" customHeight="1" x14ac:dyDescent="0.2">
      <c r="B782" s="211"/>
      <c r="C782" s="211"/>
      <c r="D782" s="211"/>
      <c r="E782" s="211"/>
      <c r="F782" s="211"/>
      <c r="G782" s="211"/>
      <c r="H782" s="211"/>
    </row>
    <row r="783" spans="2:8" ht="15.75" customHeight="1" x14ac:dyDescent="0.2">
      <c r="B783" s="211"/>
      <c r="C783" s="211"/>
      <c r="D783" s="211"/>
      <c r="E783" s="211"/>
      <c r="F783" s="211"/>
      <c r="G783" s="211"/>
      <c r="H783" s="211"/>
    </row>
    <row r="784" spans="2:8" ht="15.75" customHeight="1" x14ac:dyDescent="0.2">
      <c r="B784" s="211"/>
      <c r="C784" s="211"/>
      <c r="D784" s="211"/>
      <c r="E784" s="211"/>
      <c r="F784" s="211"/>
      <c r="G784" s="211"/>
      <c r="H784" s="211"/>
    </row>
    <row r="785" spans="2:8" ht="15.75" customHeight="1" x14ac:dyDescent="0.2">
      <c r="B785" s="211"/>
      <c r="C785" s="211"/>
      <c r="D785" s="211"/>
      <c r="E785" s="211"/>
      <c r="F785" s="211"/>
      <c r="G785" s="211"/>
      <c r="H785" s="211"/>
    </row>
    <row r="786" spans="2:8" ht="15.75" customHeight="1" x14ac:dyDescent="0.2">
      <c r="B786" s="211"/>
      <c r="C786" s="211"/>
      <c r="D786" s="211"/>
      <c r="E786" s="211"/>
      <c r="F786" s="211"/>
      <c r="G786" s="211"/>
      <c r="H786" s="211"/>
    </row>
    <row r="787" spans="2:8" ht="15.75" customHeight="1" x14ac:dyDescent="0.2">
      <c r="B787" s="211"/>
      <c r="C787" s="211"/>
      <c r="D787" s="211"/>
      <c r="E787" s="211"/>
      <c r="F787" s="211"/>
      <c r="G787" s="211"/>
      <c r="H787" s="211"/>
    </row>
    <row r="788" spans="2:8" ht="15.75" customHeight="1" x14ac:dyDescent="0.2">
      <c r="B788" s="211"/>
      <c r="C788" s="211"/>
      <c r="D788" s="211"/>
      <c r="E788" s="211"/>
      <c r="F788" s="211"/>
      <c r="G788" s="211"/>
      <c r="H788" s="211"/>
    </row>
    <row r="789" spans="2:8" ht="15.75" customHeight="1" x14ac:dyDescent="0.2">
      <c r="B789" s="211"/>
      <c r="C789" s="211"/>
      <c r="D789" s="211"/>
      <c r="E789" s="211"/>
      <c r="F789" s="211"/>
      <c r="G789" s="211"/>
      <c r="H789" s="211"/>
    </row>
    <row r="790" spans="2:8" ht="15.75" customHeight="1" x14ac:dyDescent="0.2">
      <c r="B790" s="211"/>
      <c r="C790" s="211"/>
      <c r="D790" s="211"/>
      <c r="E790" s="211"/>
      <c r="F790" s="211"/>
      <c r="G790" s="211"/>
      <c r="H790" s="211"/>
    </row>
    <row r="791" spans="2:8" ht="15.75" customHeight="1" x14ac:dyDescent="0.2">
      <c r="B791" s="211"/>
      <c r="C791" s="211"/>
      <c r="D791" s="211"/>
      <c r="E791" s="211"/>
      <c r="F791" s="211"/>
      <c r="G791" s="211"/>
      <c r="H791" s="211"/>
    </row>
    <row r="792" spans="2:8" ht="15.75" customHeight="1" x14ac:dyDescent="0.2">
      <c r="B792" s="211"/>
      <c r="C792" s="211"/>
      <c r="D792" s="211"/>
      <c r="E792" s="211"/>
      <c r="F792" s="211"/>
      <c r="G792" s="211"/>
      <c r="H792" s="211"/>
    </row>
    <row r="793" spans="2:8" ht="15.75" customHeight="1" x14ac:dyDescent="0.2">
      <c r="B793" s="211"/>
      <c r="C793" s="211"/>
      <c r="D793" s="211"/>
      <c r="E793" s="211"/>
      <c r="F793" s="211"/>
      <c r="G793" s="211"/>
      <c r="H793" s="211"/>
    </row>
    <row r="794" spans="2:8" ht="15.75" customHeight="1" x14ac:dyDescent="0.2">
      <c r="B794" s="211"/>
      <c r="C794" s="211"/>
      <c r="D794" s="211"/>
      <c r="E794" s="211"/>
      <c r="F794" s="211"/>
      <c r="G794" s="211"/>
      <c r="H794" s="211"/>
    </row>
    <row r="795" spans="2:8" ht="15.75" customHeight="1" x14ac:dyDescent="0.2">
      <c r="B795" s="211"/>
      <c r="C795" s="211"/>
      <c r="D795" s="211"/>
      <c r="E795" s="211"/>
      <c r="F795" s="211"/>
      <c r="G795" s="211"/>
      <c r="H795" s="211"/>
    </row>
    <row r="796" spans="2:8" ht="15.75" customHeight="1" x14ac:dyDescent="0.2">
      <c r="B796" s="211"/>
      <c r="C796" s="211"/>
      <c r="D796" s="211"/>
      <c r="E796" s="211"/>
      <c r="F796" s="211"/>
      <c r="G796" s="211"/>
      <c r="H796" s="211"/>
    </row>
    <row r="797" spans="2:8" ht="15.75" customHeight="1" x14ac:dyDescent="0.2">
      <c r="B797" s="211"/>
      <c r="C797" s="211"/>
      <c r="D797" s="211"/>
      <c r="E797" s="211"/>
      <c r="F797" s="211"/>
      <c r="G797" s="211"/>
      <c r="H797" s="211"/>
    </row>
    <row r="798" spans="2:8" ht="15.75" customHeight="1" x14ac:dyDescent="0.2">
      <c r="B798" s="211"/>
      <c r="C798" s="211"/>
      <c r="D798" s="211"/>
      <c r="E798" s="211"/>
      <c r="F798" s="211"/>
      <c r="G798" s="211"/>
      <c r="H798" s="211"/>
    </row>
    <row r="799" spans="2:8" ht="15.75" customHeight="1" x14ac:dyDescent="0.2">
      <c r="B799" s="211"/>
      <c r="C799" s="211"/>
      <c r="D799" s="211"/>
      <c r="E799" s="211"/>
      <c r="F799" s="211"/>
      <c r="G799" s="211"/>
      <c r="H799" s="211"/>
    </row>
    <row r="800" spans="2:8" ht="15.75" customHeight="1" x14ac:dyDescent="0.2">
      <c r="B800" s="211"/>
      <c r="C800" s="211"/>
      <c r="D800" s="211"/>
      <c r="E800" s="211"/>
      <c r="F800" s="211"/>
      <c r="G800" s="211"/>
      <c r="H800" s="211"/>
    </row>
    <row r="801" spans="2:8" ht="15.75" customHeight="1" x14ac:dyDescent="0.2">
      <c r="B801" s="211"/>
      <c r="C801" s="211"/>
      <c r="D801" s="211"/>
      <c r="E801" s="211"/>
      <c r="F801" s="211"/>
      <c r="G801" s="211"/>
      <c r="H801" s="211"/>
    </row>
    <row r="802" spans="2:8" ht="15.75" customHeight="1" x14ac:dyDescent="0.2">
      <c r="B802" s="211"/>
      <c r="C802" s="211"/>
      <c r="D802" s="211"/>
      <c r="E802" s="211"/>
      <c r="F802" s="211"/>
      <c r="G802" s="211"/>
      <c r="H802" s="211"/>
    </row>
    <row r="803" spans="2:8" ht="15.75" customHeight="1" x14ac:dyDescent="0.2">
      <c r="B803" s="211"/>
      <c r="C803" s="211"/>
      <c r="D803" s="211"/>
      <c r="E803" s="211"/>
      <c r="F803" s="211"/>
      <c r="G803" s="211"/>
      <c r="H803" s="211"/>
    </row>
    <row r="804" spans="2:8" ht="15.75" customHeight="1" x14ac:dyDescent="0.2">
      <c r="B804" s="211"/>
      <c r="C804" s="211"/>
      <c r="D804" s="211"/>
      <c r="E804" s="211"/>
      <c r="F804" s="211"/>
      <c r="G804" s="211"/>
      <c r="H804" s="211"/>
    </row>
    <row r="805" spans="2:8" ht="15.75" customHeight="1" x14ac:dyDescent="0.2">
      <c r="B805" s="211"/>
      <c r="C805" s="211"/>
      <c r="D805" s="211"/>
      <c r="E805" s="211"/>
      <c r="F805" s="211"/>
      <c r="G805" s="211"/>
      <c r="H805" s="211"/>
    </row>
    <row r="806" spans="2:8" ht="15.75" customHeight="1" x14ac:dyDescent="0.2">
      <c r="B806" s="211"/>
      <c r="C806" s="211"/>
      <c r="D806" s="211"/>
      <c r="E806" s="211"/>
      <c r="F806" s="211"/>
      <c r="G806" s="211"/>
      <c r="H806" s="211"/>
    </row>
    <row r="807" spans="2:8" ht="15.75" customHeight="1" x14ac:dyDescent="0.2">
      <c r="B807" s="211"/>
      <c r="C807" s="211"/>
      <c r="D807" s="211"/>
      <c r="E807" s="211"/>
      <c r="F807" s="211"/>
      <c r="G807" s="211"/>
      <c r="H807" s="211"/>
    </row>
    <row r="808" spans="2:8" ht="15.75" customHeight="1" x14ac:dyDescent="0.2">
      <c r="B808" s="211"/>
      <c r="C808" s="211"/>
      <c r="D808" s="211"/>
      <c r="E808" s="211"/>
      <c r="F808" s="211"/>
      <c r="G808" s="211"/>
      <c r="H808" s="211"/>
    </row>
    <row r="809" spans="2:8" ht="15.75" customHeight="1" x14ac:dyDescent="0.2">
      <c r="B809" s="211"/>
      <c r="C809" s="211"/>
      <c r="D809" s="211"/>
      <c r="E809" s="211"/>
      <c r="F809" s="211"/>
      <c r="G809" s="211"/>
      <c r="H809" s="211"/>
    </row>
    <row r="810" spans="2:8" ht="15.75" customHeight="1" x14ac:dyDescent="0.2">
      <c r="B810" s="211"/>
      <c r="C810" s="211"/>
      <c r="D810" s="211"/>
      <c r="E810" s="211"/>
      <c r="F810" s="211"/>
      <c r="G810" s="211"/>
      <c r="H810" s="211"/>
    </row>
    <row r="811" spans="2:8" ht="15.75" customHeight="1" x14ac:dyDescent="0.2">
      <c r="B811" s="211"/>
      <c r="C811" s="211"/>
      <c r="D811" s="211"/>
      <c r="E811" s="211"/>
      <c r="F811" s="211"/>
      <c r="G811" s="211"/>
      <c r="H811" s="211"/>
    </row>
    <row r="812" spans="2:8" ht="15.75" customHeight="1" x14ac:dyDescent="0.2">
      <c r="B812" s="211"/>
      <c r="C812" s="211"/>
      <c r="D812" s="211"/>
      <c r="E812" s="211"/>
      <c r="F812" s="211"/>
      <c r="G812" s="211"/>
      <c r="H812" s="211"/>
    </row>
    <row r="813" spans="2:8" ht="15.75" customHeight="1" x14ac:dyDescent="0.2">
      <c r="B813" s="211"/>
      <c r="C813" s="211"/>
      <c r="D813" s="211"/>
      <c r="E813" s="211"/>
      <c r="F813" s="211"/>
      <c r="G813" s="211"/>
      <c r="H813" s="211"/>
    </row>
    <row r="814" spans="2:8" ht="15.75" customHeight="1" x14ac:dyDescent="0.2">
      <c r="B814" s="211"/>
      <c r="C814" s="211"/>
      <c r="D814" s="211"/>
      <c r="E814" s="211"/>
      <c r="F814" s="211"/>
      <c r="G814" s="211"/>
      <c r="H814" s="211"/>
    </row>
    <row r="815" spans="2:8" ht="15.75" customHeight="1" x14ac:dyDescent="0.2">
      <c r="B815" s="211"/>
      <c r="C815" s="211"/>
      <c r="D815" s="211"/>
      <c r="E815" s="211"/>
      <c r="F815" s="211"/>
      <c r="G815" s="211"/>
      <c r="H815" s="211"/>
    </row>
    <row r="816" spans="2:8" ht="15.75" customHeight="1" x14ac:dyDescent="0.2">
      <c r="B816" s="211"/>
      <c r="C816" s="211"/>
      <c r="D816" s="211"/>
      <c r="E816" s="211"/>
      <c r="F816" s="211"/>
      <c r="G816" s="211"/>
      <c r="H816" s="211"/>
    </row>
    <row r="817" spans="2:8" ht="15.75" customHeight="1" x14ac:dyDescent="0.2">
      <c r="B817" s="211"/>
      <c r="C817" s="211"/>
      <c r="D817" s="211"/>
      <c r="E817" s="211"/>
      <c r="F817" s="211"/>
      <c r="G817" s="211"/>
      <c r="H817" s="211"/>
    </row>
    <row r="818" spans="2:8" ht="15.75" customHeight="1" x14ac:dyDescent="0.2">
      <c r="B818" s="211"/>
      <c r="C818" s="211"/>
      <c r="D818" s="211"/>
      <c r="E818" s="211"/>
      <c r="F818" s="211"/>
      <c r="G818" s="211"/>
      <c r="H818" s="211"/>
    </row>
    <row r="819" spans="2:8" ht="15.75" customHeight="1" x14ac:dyDescent="0.2">
      <c r="B819" s="211"/>
      <c r="C819" s="211"/>
      <c r="D819" s="211"/>
      <c r="E819" s="211"/>
      <c r="F819" s="211"/>
      <c r="G819" s="211"/>
      <c r="H819" s="211"/>
    </row>
    <row r="820" spans="2:8" ht="15.75" customHeight="1" x14ac:dyDescent="0.2">
      <c r="B820" s="211"/>
      <c r="C820" s="211"/>
      <c r="D820" s="211"/>
      <c r="E820" s="211"/>
      <c r="F820" s="211"/>
      <c r="G820" s="211"/>
      <c r="H820" s="211"/>
    </row>
    <row r="821" spans="2:8" ht="15.75" customHeight="1" x14ac:dyDescent="0.2">
      <c r="B821" s="211"/>
      <c r="C821" s="211"/>
      <c r="D821" s="211"/>
      <c r="E821" s="211"/>
      <c r="F821" s="211"/>
      <c r="G821" s="211"/>
      <c r="H821" s="211"/>
    </row>
    <row r="822" spans="2:8" ht="15.75" customHeight="1" x14ac:dyDescent="0.2">
      <c r="B822" s="211"/>
      <c r="C822" s="211"/>
      <c r="D822" s="211"/>
      <c r="E822" s="211"/>
      <c r="F822" s="211"/>
      <c r="G822" s="211"/>
      <c r="H822" s="211"/>
    </row>
    <row r="823" spans="2:8" ht="15.75" customHeight="1" x14ac:dyDescent="0.2">
      <c r="B823" s="211"/>
      <c r="C823" s="211"/>
      <c r="D823" s="211"/>
      <c r="E823" s="211"/>
      <c r="F823" s="211"/>
      <c r="G823" s="211"/>
      <c r="H823" s="211"/>
    </row>
    <row r="824" spans="2:8" ht="15.75" customHeight="1" x14ac:dyDescent="0.2">
      <c r="B824" s="211"/>
      <c r="C824" s="211"/>
      <c r="D824" s="211"/>
      <c r="E824" s="211"/>
      <c r="F824" s="211"/>
      <c r="G824" s="211"/>
      <c r="H824" s="211"/>
    </row>
    <row r="825" spans="2:8" ht="15.75" customHeight="1" x14ac:dyDescent="0.2">
      <c r="B825" s="211"/>
      <c r="C825" s="211"/>
      <c r="D825" s="211"/>
      <c r="E825" s="211"/>
      <c r="F825" s="211"/>
      <c r="G825" s="211"/>
      <c r="H825" s="211"/>
    </row>
    <row r="826" spans="2:8" ht="15.75" customHeight="1" x14ac:dyDescent="0.2">
      <c r="B826" s="211"/>
      <c r="C826" s="211"/>
      <c r="D826" s="211"/>
      <c r="E826" s="211"/>
      <c r="F826" s="211"/>
      <c r="G826" s="211"/>
      <c r="H826" s="211"/>
    </row>
    <row r="827" spans="2:8" ht="15.75" customHeight="1" x14ac:dyDescent="0.2">
      <c r="B827" s="211"/>
      <c r="C827" s="211"/>
      <c r="D827" s="211"/>
      <c r="E827" s="211"/>
      <c r="F827" s="211"/>
      <c r="G827" s="211"/>
      <c r="H827" s="211"/>
    </row>
    <row r="828" spans="2:8" ht="15.75" customHeight="1" x14ac:dyDescent="0.2">
      <c r="B828" s="211"/>
      <c r="C828" s="211"/>
      <c r="D828" s="211"/>
      <c r="E828" s="211"/>
      <c r="F828" s="211"/>
      <c r="G828" s="211"/>
      <c r="H828" s="211"/>
    </row>
    <row r="829" spans="2:8" ht="15.75" customHeight="1" x14ac:dyDescent="0.2">
      <c r="B829" s="211"/>
      <c r="C829" s="211"/>
      <c r="D829" s="211"/>
      <c r="E829" s="211"/>
      <c r="F829" s="211"/>
      <c r="G829" s="211"/>
      <c r="H829" s="211"/>
    </row>
    <row r="830" spans="2:8" ht="15.75" customHeight="1" x14ac:dyDescent="0.2">
      <c r="B830" s="211"/>
      <c r="C830" s="211"/>
      <c r="D830" s="211"/>
      <c r="E830" s="211"/>
      <c r="F830" s="211"/>
      <c r="G830" s="211"/>
      <c r="H830" s="211"/>
    </row>
    <row r="831" spans="2:8" ht="15.75" customHeight="1" x14ac:dyDescent="0.2">
      <c r="B831" s="211"/>
      <c r="C831" s="211"/>
      <c r="D831" s="211"/>
      <c r="E831" s="211"/>
      <c r="F831" s="211"/>
      <c r="G831" s="211"/>
      <c r="H831" s="211"/>
    </row>
    <row r="832" spans="2:8" ht="15.75" customHeight="1" x14ac:dyDescent="0.2">
      <c r="B832" s="211"/>
      <c r="C832" s="211"/>
      <c r="D832" s="211"/>
      <c r="E832" s="211"/>
      <c r="F832" s="211"/>
      <c r="G832" s="211"/>
      <c r="H832" s="211"/>
    </row>
    <row r="833" spans="2:8" ht="15.75" customHeight="1" x14ac:dyDescent="0.2">
      <c r="B833" s="211"/>
      <c r="C833" s="211"/>
      <c r="D833" s="211"/>
      <c r="E833" s="211"/>
      <c r="F833" s="211"/>
      <c r="G833" s="211"/>
      <c r="H833" s="211"/>
    </row>
    <row r="834" spans="2:8" ht="15.75" customHeight="1" x14ac:dyDescent="0.2">
      <c r="B834" s="211"/>
      <c r="C834" s="211"/>
      <c r="D834" s="211"/>
      <c r="E834" s="211"/>
      <c r="F834" s="211"/>
      <c r="G834" s="211"/>
      <c r="H834" s="211"/>
    </row>
    <row r="835" spans="2:8" ht="15.75" customHeight="1" x14ac:dyDescent="0.2">
      <c r="B835" s="211"/>
      <c r="C835" s="211"/>
      <c r="D835" s="211"/>
      <c r="E835" s="211"/>
      <c r="F835" s="211"/>
      <c r="G835" s="211"/>
      <c r="H835" s="211"/>
    </row>
    <row r="836" spans="2:8" ht="15.75" customHeight="1" x14ac:dyDescent="0.2">
      <c r="B836" s="211"/>
      <c r="C836" s="211"/>
      <c r="D836" s="211"/>
      <c r="E836" s="211"/>
      <c r="F836" s="211"/>
      <c r="G836" s="211"/>
      <c r="H836" s="211"/>
    </row>
    <row r="837" spans="2:8" ht="15.75" customHeight="1" x14ac:dyDescent="0.2">
      <c r="B837" s="211"/>
      <c r="C837" s="211"/>
      <c r="D837" s="211"/>
      <c r="E837" s="211"/>
      <c r="F837" s="211"/>
      <c r="G837" s="211"/>
      <c r="H837" s="211"/>
    </row>
    <row r="838" spans="2:8" ht="15.75" customHeight="1" x14ac:dyDescent="0.2">
      <c r="B838" s="211"/>
      <c r="C838" s="211"/>
      <c r="D838" s="211"/>
      <c r="E838" s="211"/>
      <c r="F838" s="211"/>
      <c r="G838" s="211"/>
      <c r="H838" s="211"/>
    </row>
    <row r="839" spans="2:8" ht="15.75" customHeight="1" x14ac:dyDescent="0.2">
      <c r="B839" s="211"/>
      <c r="C839" s="211"/>
      <c r="D839" s="211"/>
      <c r="E839" s="211"/>
      <c r="F839" s="211"/>
      <c r="G839" s="211"/>
      <c r="H839" s="211"/>
    </row>
    <row r="840" spans="2:8" ht="15.75" customHeight="1" x14ac:dyDescent="0.2">
      <c r="B840" s="211"/>
      <c r="C840" s="211"/>
      <c r="D840" s="211"/>
      <c r="E840" s="211"/>
      <c r="F840" s="211"/>
      <c r="G840" s="211"/>
      <c r="H840" s="211"/>
    </row>
    <row r="841" spans="2:8" ht="15.75" customHeight="1" x14ac:dyDescent="0.2">
      <c r="B841" s="211"/>
      <c r="C841" s="211"/>
      <c r="D841" s="211"/>
      <c r="E841" s="211"/>
      <c r="F841" s="211"/>
      <c r="G841" s="211"/>
      <c r="H841" s="211"/>
    </row>
    <row r="842" spans="2:8" ht="15.75" customHeight="1" x14ac:dyDescent="0.2">
      <c r="B842" s="211"/>
      <c r="C842" s="211"/>
      <c r="D842" s="211"/>
      <c r="E842" s="211"/>
      <c r="F842" s="211"/>
      <c r="G842" s="211"/>
      <c r="H842" s="211"/>
    </row>
    <row r="843" spans="2:8" ht="15.75" customHeight="1" x14ac:dyDescent="0.2">
      <c r="B843" s="211"/>
      <c r="C843" s="211"/>
      <c r="D843" s="211"/>
      <c r="E843" s="211"/>
      <c r="F843" s="211"/>
      <c r="G843" s="211"/>
      <c r="H843" s="211"/>
    </row>
    <row r="844" spans="2:8" ht="15.75" customHeight="1" x14ac:dyDescent="0.2">
      <c r="B844" s="211"/>
      <c r="C844" s="211"/>
      <c r="D844" s="211"/>
      <c r="E844" s="211"/>
      <c r="F844" s="211"/>
      <c r="G844" s="211"/>
      <c r="H844" s="211"/>
    </row>
    <row r="845" spans="2:8" ht="15.75" customHeight="1" x14ac:dyDescent="0.2">
      <c r="B845" s="211"/>
      <c r="C845" s="211"/>
      <c r="D845" s="211"/>
      <c r="E845" s="211"/>
      <c r="F845" s="211"/>
      <c r="G845" s="211"/>
      <c r="H845" s="211"/>
    </row>
    <row r="846" spans="2:8" ht="15.75" customHeight="1" x14ac:dyDescent="0.2">
      <c r="B846" s="211"/>
      <c r="C846" s="211"/>
      <c r="D846" s="211"/>
      <c r="E846" s="211"/>
      <c r="F846" s="211"/>
      <c r="G846" s="211"/>
      <c r="H846" s="211"/>
    </row>
    <row r="847" spans="2:8" ht="15.75" customHeight="1" x14ac:dyDescent="0.2">
      <c r="B847" s="211"/>
      <c r="C847" s="211"/>
      <c r="D847" s="211"/>
      <c r="E847" s="211"/>
      <c r="F847" s="211"/>
      <c r="G847" s="211"/>
      <c r="H847" s="211"/>
    </row>
    <row r="848" spans="2:8" ht="15.75" customHeight="1" x14ac:dyDescent="0.2">
      <c r="B848" s="211"/>
      <c r="C848" s="211"/>
      <c r="D848" s="211"/>
      <c r="E848" s="211"/>
      <c r="F848" s="211"/>
      <c r="G848" s="211"/>
      <c r="H848" s="211"/>
    </row>
    <row r="849" spans="2:8" ht="15.75" customHeight="1" x14ac:dyDescent="0.2">
      <c r="B849" s="211"/>
      <c r="C849" s="211"/>
      <c r="D849" s="211"/>
      <c r="E849" s="211"/>
      <c r="F849" s="211"/>
      <c r="G849" s="211"/>
      <c r="H849" s="211"/>
    </row>
    <row r="850" spans="2:8" ht="15.75" customHeight="1" x14ac:dyDescent="0.2">
      <c r="B850" s="211"/>
      <c r="C850" s="211"/>
      <c r="D850" s="211"/>
      <c r="E850" s="211"/>
      <c r="F850" s="211"/>
      <c r="G850" s="211"/>
      <c r="H850" s="211"/>
    </row>
    <row r="851" spans="2:8" ht="15.75" customHeight="1" x14ac:dyDescent="0.2">
      <c r="B851" s="211"/>
      <c r="C851" s="211"/>
      <c r="D851" s="211"/>
      <c r="E851" s="211"/>
      <c r="F851" s="211"/>
      <c r="G851" s="211"/>
      <c r="H851" s="211"/>
    </row>
    <row r="852" spans="2:8" ht="15.75" customHeight="1" x14ac:dyDescent="0.2">
      <c r="B852" s="211"/>
      <c r="C852" s="211"/>
      <c r="D852" s="211"/>
      <c r="E852" s="211"/>
      <c r="F852" s="211"/>
      <c r="G852" s="211"/>
      <c r="H852" s="211"/>
    </row>
    <row r="853" spans="2:8" ht="15.75" customHeight="1" x14ac:dyDescent="0.2">
      <c r="B853" s="211"/>
      <c r="C853" s="211"/>
      <c r="D853" s="211"/>
      <c r="E853" s="211"/>
      <c r="F853" s="211"/>
      <c r="G853" s="211"/>
      <c r="H853" s="211"/>
    </row>
    <row r="854" spans="2:8" ht="15.75" customHeight="1" x14ac:dyDescent="0.2">
      <c r="B854" s="211"/>
      <c r="C854" s="211"/>
      <c r="D854" s="211"/>
      <c r="E854" s="211"/>
      <c r="F854" s="211"/>
      <c r="G854" s="211"/>
      <c r="H854" s="211"/>
    </row>
    <row r="855" spans="2:8" ht="15.75" customHeight="1" x14ac:dyDescent="0.2">
      <c r="B855" s="211"/>
      <c r="C855" s="211"/>
      <c r="D855" s="211"/>
      <c r="E855" s="211"/>
      <c r="F855" s="211"/>
      <c r="G855" s="211"/>
      <c r="H855" s="211"/>
    </row>
    <row r="856" spans="2:8" ht="15.75" customHeight="1" x14ac:dyDescent="0.2">
      <c r="B856" s="211"/>
      <c r="C856" s="211"/>
      <c r="D856" s="211"/>
      <c r="E856" s="211"/>
      <c r="F856" s="211"/>
      <c r="G856" s="211"/>
      <c r="H856" s="211"/>
    </row>
    <row r="857" spans="2:8" ht="15.75" customHeight="1" x14ac:dyDescent="0.2">
      <c r="B857" s="211"/>
      <c r="C857" s="211"/>
      <c r="D857" s="211"/>
      <c r="E857" s="211"/>
      <c r="F857" s="211"/>
      <c r="G857" s="211"/>
      <c r="H857" s="211"/>
    </row>
    <row r="858" spans="2:8" ht="15.75" customHeight="1" x14ac:dyDescent="0.2">
      <c r="B858" s="211"/>
      <c r="C858" s="211"/>
      <c r="D858" s="211"/>
      <c r="E858" s="211"/>
      <c r="F858" s="211"/>
      <c r="G858" s="211"/>
      <c r="H858" s="211"/>
    </row>
    <row r="859" spans="2:8" ht="15.75" customHeight="1" x14ac:dyDescent="0.2">
      <c r="B859" s="211"/>
      <c r="C859" s="211"/>
      <c r="D859" s="211"/>
      <c r="E859" s="211"/>
      <c r="F859" s="211"/>
      <c r="G859" s="211"/>
      <c r="H859" s="211"/>
    </row>
    <row r="860" spans="2:8" ht="15.75" customHeight="1" x14ac:dyDescent="0.2">
      <c r="B860" s="211"/>
      <c r="C860" s="211"/>
      <c r="D860" s="211"/>
      <c r="E860" s="211"/>
      <c r="F860" s="211"/>
      <c r="G860" s="211"/>
      <c r="H860" s="211"/>
    </row>
    <row r="861" spans="2:8" ht="15.75" customHeight="1" x14ac:dyDescent="0.2">
      <c r="B861" s="211"/>
      <c r="C861" s="211"/>
      <c r="D861" s="211"/>
      <c r="E861" s="211"/>
      <c r="F861" s="211"/>
      <c r="G861" s="211"/>
      <c r="H861" s="211"/>
    </row>
    <row r="862" spans="2:8" ht="15.75" customHeight="1" x14ac:dyDescent="0.2">
      <c r="B862" s="211"/>
      <c r="C862" s="211"/>
      <c r="D862" s="211"/>
      <c r="E862" s="211"/>
      <c r="F862" s="211"/>
      <c r="G862" s="211"/>
      <c r="H862" s="211"/>
    </row>
    <row r="863" spans="2:8" ht="15.75" customHeight="1" x14ac:dyDescent="0.2">
      <c r="B863" s="211"/>
      <c r="C863" s="211"/>
      <c r="D863" s="211"/>
      <c r="E863" s="211"/>
      <c r="F863" s="211"/>
      <c r="G863" s="211"/>
      <c r="H863" s="211"/>
    </row>
    <row r="864" spans="2:8" ht="15.75" customHeight="1" x14ac:dyDescent="0.2">
      <c r="B864" s="211"/>
      <c r="C864" s="211"/>
      <c r="D864" s="211"/>
      <c r="E864" s="211"/>
      <c r="F864" s="211"/>
      <c r="G864" s="211"/>
      <c r="H864" s="211"/>
    </row>
    <row r="865" spans="2:8" ht="15.75" customHeight="1" x14ac:dyDescent="0.2">
      <c r="B865" s="211"/>
      <c r="C865" s="211"/>
      <c r="D865" s="211"/>
      <c r="E865" s="211"/>
      <c r="F865" s="211"/>
      <c r="G865" s="211"/>
      <c r="H865" s="211"/>
    </row>
    <row r="866" spans="2:8" ht="15.75" customHeight="1" x14ac:dyDescent="0.2">
      <c r="B866" s="211"/>
      <c r="C866" s="211"/>
      <c r="D866" s="211"/>
      <c r="E866" s="211"/>
      <c r="F866" s="211"/>
      <c r="G866" s="211"/>
      <c r="H866" s="211"/>
    </row>
    <row r="867" spans="2:8" ht="15.75" customHeight="1" x14ac:dyDescent="0.2">
      <c r="B867" s="211"/>
      <c r="C867" s="211"/>
      <c r="D867" s="211"/>
      <c r="E867" s="211"/>
      <c r="F867" s="211"/>
      <c r="G867" s="211"/>
      <c r="H867" s="211"/>
    </row>
    <row r="868" spans="2:8" ht="15.75" customHeight="1" x14ac:dyDescent="0.2">
      <c r="B868" s="211"/>
      <c r="C868" s="211"/>
      <c r="D868" s="211"/>
      <c r="E868" s="211"/>
      <c r="F868" s="211"/>
      <c r="G868" s="211"/>
      <c r="H868" s="211"/>
    </row>
    <row r="869" spans="2:8" ht="15.75" customHeight="1" x14ac:dyDescent="0.2">
      <c r="B869" s="211"/>
      <c r="C869" s="211"/>
      <c r="D869" s="211"/>
      <c r="E869" s="211"/>
      <c r="F869" s="211"/>
      <c r="G869" s="211"/>
      <c r="H869" s="211"/>
    </row>
    <row r="870" spans="2:8" ht="15.75" customHeight="1" x14ac:dyDescent="0.2">
      <c r="B870" s="211"/>
      <c r="C870" s="211"/>
      <c r="D870" s="211"/>
      <c r="E870" s="211"/>
      <c r="F870" s="211"/>
      <c r="G870" s="211"/>
      <c r="H870" s="211"/>
    </row>
    <row r="871" spans="2:8" ht="15.75" customHeight="1" x14ac:dyDescent="0.2">
      <c r="B871" s="211"/>
      <c r="C871" s="211"/>
      <c r="D871" s="211"/>
      <c r="E871" s="211"/>
      <c r="F871" s="211"/>
      <c r="G871" s="211"/>
      <c r="H871" s="211"/>
    </row>
    <row r="872" spans="2:8" ht="15.75" customHeight="1" x14ac:dyDescent="0.2">
      <c r="B872" s="211"/>
      <c r="C872" s="211"/>
      <c r="D872" s="211"/>
      <c r="E872" s="211"/>
      <c r="F872" s="211"/>
      <c r="G872" s="211"/>
      <c r="H872" s="211"/>
    </row>
    <row r="873" spans="2:8" ht="15.75" customHeight="1" x14ac:dyDescent="0.2">
      <c r="B873" s="211"/>
      <c r="C873" s="211"/>
      <c r="D873" s="211"/>
      <c r="E873" s="211"/>
      <c r="F873" s="211"/>
      <c r="G873" s="211"/>
      <c r="H873" s="211"/>
    </row>
    <row r="874" spans="2:8" ht="15.75" customHeight="1" x14ac:dyDescent="0.2">
      <c r="B874" s="211"/>
      <c r="C874" s="211"/>
      <c r="D874" s="211"/>
      <c r="E874" s="211"/>
      <c r="F874" s="211"/>
      <c r="G874" s="211"/>
      <c r="H874" s="211"/>
    </row>
    <row r="875" spans="2:8" ht="15.75" customHeight="1" x14ac:dyDescent="0.2">
      <c r="B875" s="211"/>
      <c r="C875" s="211"/>
      <c r="D875" s="211"/>
      <c r="E875" s="211"/>
      <c r="F875" s="211"/>
      <c r="G875" s="211"/>
      <c r="H875" s="211"/>
    </row>
    <row r="876" spans="2:8" ht="15.75" customHeight="1" x14ac:dyDescent="0.2">
      <c r="B876" s="211"/>
      <c r="C876" s="211"/>
      <c r="D876" s="211"/>
      <c r="E876" s="211"/>
      <c r="F876" s="211"/>
      <c r="G876" s="211"/>
      <c r="H876" s="211"/>
    </row>
    <row r="877" spans="2:8" ht="15.75" customHeight="1" x14ac:dyDescent="0.2">
      <c r="B877" s="211"/>
      <c r="C877" s="211"/>
      <c r="D877" s="211"/>
      <c r="E877" s="211"/>
      <c r="F877" s="211"/>
      <c r="G877" s="211"/>
      <c r="H877" s="211"/>
    </row>
    <row r="878" spans="2:8" ht="15.75" customHeight="1" x14ac:dyDescent="0.2">
      <c r="B878" s="211"/>
      <c r="C878" s="211"/>
      <c r="D878" s="211"/>
      <c r="E878" s="211"/>
      <c r="F878" s="211"/>
      <c r="G878" s="211"/>
      <c r="H878" s="211"/>
    </row>
    <row r="879" spans="2:8" ht="15.75" customHeight="1" x14ac:dyDescent="0.2">
      <c r="B879" s="211"/>
      <c r="C879" s="211"/>
      <c r="D879" s="211"/>
      <c r="E879" s="211"/>
      <c r="F879" s="211"/>
      <c r="G879" s="211"/>
      <c r="H879" s="211"/>
    </row>
    <row r="880" spans="2:8" ht="15.75" customHeight="1" x14ac:dyDescent="0.2">
      <c r="B880" s="211"/>
      <c r="C880" s="211"/>
      <c r="D880" s="211"/>
      <c r="E880" s="211"/>
      <c r="F880" s="211"/>
      <c r="G880" s="211"/>
      <c r="H880" s="211"/>
    </row>
    <row r="881" spans="2:8" ht="15.75" customHeight="1" x14ac:dyDescent="0.2">
      <c r="B881" s="211"/>
      <c r="C881" s="211"/>
      <c r="D881" s="211"/>
      <c r="E881" s="211"/>
      <c r="F881" s="211"/>
      <c r="G881" s="211"/>
      <c r="H881" s="211"/>
    </row>
    <row r="882" spans="2:8" ht="15.75" customHeight="1" x14ac:dyDescent="0.2">
      <c r="B882" s="211"/>
      <c r="C882" s="211"/>
      <c r="D882" s="211"/>
      <c r="E882" s="211"/>
      <c r="F882" s="211"/>
      <c r="G882" s="211"/>
      <c r="H882" s="211"/>
    </row>
    <row r="883" spans="2:8" ht="15.75" customHeight="1" x14ac:dyDescent="0.2">
      <c r="B883" s="211"/>
      <c r="C883" s="211"/>
      <c r="D883" s="211"/>
      <c r="E883" s="211"/>
      <c r="F883" s="211"/>
      <c r="G883" s="211"/>
      <c r="H883" s="211"/>
    </row>
    <row r="884" spans="2:8" ht="15.75" customHeight="1" x14ac:dyDescent="0.2">
      <c r="B884" s="211"/>
      <c r="C884" s="211"/>
      <c r="D884" s="211"/>
      <c r="E884" s="211"/>
      <c r="F884" s="211"/>
      <c r="G884" s="211"/>
      <c r="H884" s="211"/>
    </row>
    <row r="885" spans="2:8" ht="15.75" customHeight="1" x14ac:dyDescent="0.2">
      <c r="B885" s="211"/>
      <c r="C885" s="211"/>
      <c r="D885" s="211"/>
      <c r="E885" s="211"/>
      <c r="F885" s="211"/>
      <c r="G885" s="211"/>
      <c r="H885" s="211"/>
    </row>
    <row r="886" spans="2:8" ht="15.75" customHeight="1" x14ac:dyDescent="0.2">
      <c r="B886" s="211"/>
      <c r="C886" s="211"/>
      <c r="D886" s="211"/>
      <c r="E886" s="211"/>
      <c r="F886" s="211"/>
      <c r="G886" s="211"/>
      <c r="H886" s="211"/>
    </row>
    <row r="887" spans="2:8" ht="15.75" customHeight="1" x14ac:dyDescent="0.2">
      <c r="B887" s="211"/>
      <c r="C887" s="211"/>
      <c r="D887" s="211"/>
      <c r="E887" s="211"/>
      <c r="F887" s="211"/>
      <c r="G887" s="211"/>
      <c r="H887" s="211"/>
    </row>
    <row r="888" spans="2:8" ht="15.75" customHeight="1" x14ac:dyDescent="0.2">
      <c r="B888" s="211"/>
      <c r="C888" s="211"/>
      <c r="D888" s="211"/>
      <c r="E888" s="211"/>
      <c r="F888" s="211"/>
      <c r="G888" s="211"/>
      <c r="H888" s="211"/>
    </row>
    <row r="889" spans="2:8" ht="15.75" customHeight="1" x14ac:dyDescent="0.2">
      <c r="B889" s="211"/>
      <c r="C889" s="211"/>
      <c r="D889" s="211"/>
      <c r="E889" s="211"/>
      <c r="F889" s="211"/>
      <c r="G889" s="211"/>
      <c r="H889" s="211"/>
    </row>
    <row r="890" spans="2:8" ht="15.75" customHeight="1" x14ac:dyDescent="0.2">
      <c r="B890" s="211"/>
      <c r="C890" s="211"/>
      <c r="D890" s="211"/>
      <c r="E890" s="211"/>
      <c r="F890" s="211"/>
      <c r="G890" s="211"/>
      <c r="H890" s="211"/>
    </row>
    <row r="891" spans="2:8" ht="15.75" customHeight="1" x14ac:dyDescent="0.2">
      <c r="B891" s="211"/>
      <c r="C891" s="211"/>
      <c r="D891" s="211"/>
      <c r="E891" s="211"/>
      <c r="F891" s="211"/>
      <c r="G891" s="211"/>
      <c r="H891" s="211"/>
    </row>
    <row r="892" spans="2:8" ht="15.75" customHeight="1" x14ac:dyDescent="0.2">
      <c r="B892" s="211"/>
      <c r="C892" s="211"/>
      <c r="D892" s="211"/>
      <c r="E892" s="211"/>
      <c r="F892" s="211"/>
      <c r="G892" s="211"/>
      <c r="H892" s="211"/>
    </row>
    <row r="893" spans="2:8" ht="15.75" customHeight="1" x14ac:dyDescent="0.2">
      <c r="B893" s="211"/>
      <c r="C893" s="211"/>
      <c r="D893" s="211"/>
      <c r="E893" s="211"/>
      <c r="F893" s="211"/>
      <c r="G893" s="211"/>
      <c r="H893" s="211"/>
    </row>
    <row r="894" spans="2:8" ht="15.75" customHeight="1" x14ac:dyDescent="0.2">
      <c r="B894" s="211"/>
      <c r="C894" s="211"/>
      <c r="D894" s="211"/>
      <c r="E894" s="211"/>
      <c r="F894" s="211"/>
      <c r="G894" s="211"/>
      <c r="H894" s="211"/>
    </row>
    <row r="895" spans="2:8" ht="15.75" customHeight="1" x14ac:dyDescent="0.2">
      <c r="B895" s="211"/>
      <c r="C895" s="211"/>
      <c r="D895" s="211"/>
      <c r="E895" s="211"/>
      <c r="F895" s="211"/>
      <c r="G895" s="211"/>
      <c r="H895" s="211"/>
    </row>
    <row r="896" spans="2:8" ht="15.75" customHeight="1" x14ac:dyDescent="0.2">
      <c r="B896" s="211"/>
      <c r="C896" s="211"/>
      <c r="D896" s="211"/>
      <c r="E896" s="211"/>
      <c r="F896" s="211"/>
      <c r="G896" s="211"/>
      <c r="H896" s="211"/>
    </row>
    <row r="897" spans="2:8" ht="15.75" customHeight="1" x14ac:dyDescent="0.2">
      <c r="B897" s="211"/>
      <c r="C897" s="211"/>
      <c r="D897" s="211"/>
      <c r="E897" s="211"/>
      <c r="F897" s="211"/>
      <c r="G897" s="211"/>
      <c r="H897" s="211"/>
    </row>
    <row r="898" spans="2:8" ht="15.75" customHeight="1" x14ac:dyDescent="0.2">
      <c r="B898" s="211"/>
      <c r="C898" s="211"/>
      <c r="D898" s="211"/>
      <c r="E898" s="211"/>
      <c r="F898" s="211"/>
      <c r="G898" s="211"/>
      <c r="H898" s="211"/>
    </row>
    <row r="899" spans="2:8" ht="15.75" customHeight="1" x14ac:dyDescent="0.2">
      <c r="B899" s="211"/>
      <c r="C899" s="211"/>
      <c r="D899" s="211"/>
      <c r="E899" s="211"/>
      <c r="F899" s="211"/>
      <c r="G899" s="211"/>
      <c r="H899" s="211"/>
    </row>
    <row r="900" spans="2:8" ht="15.75" customHeight="1" x14ac:dyDescent="0.2">
      <c r="B900" s="211"/>
      <c r="C900" s="211"/>
      <c r="D900" s="211"/>
      <c r="E900" s="211"/>
      <c r="F900" s="211"/>
      <c r="G900" s="211"/>
      <c r="H900" s="211"/>
    </row>
    <row r="901" spans="2:8" ht="15.75" customHeight="1" x14ac:dyDescent="0.2">
      <c r="B901" s="211"/>
      <c r="C901" s="211"/>
      <c r="D901" s="211"/>
      <c r="E901" s="211"/>
      <c r="F901" s="211"/>
      <c r="G901" s="211"/>
      <c r="H901" s="211"/>
    </row>
    <row r="902" spans="2:8" ht="15.75" customHeight="1" x14ac:dyDescent="0.2">
      <c r="B902" s="211"/>
      <c r="C902" s="211"/>
      <c r="D902" s="211"/>
      <c r="E902" s="211"/>
      <c r="F902" s="211"/>
      <c r="G902" s="211"/>
      <c r="H902" s="211"/>
    </row>
    <row r="903" spans="2:8" ht="15.75" customHeight="1" x14ac:dyDescent="0.2">
      <c r="B903" s="211"/>
      <c r="C903" s="211"/>
      <c r="D903" s="211"/>
      <c r="E903" s="211"/>
      <c r="F903" s="211"/>
      <c r="G903" s="211"/>
      <c r="H903" s="211"/>
    </row>
    <row r="904" spans="2:8" ht="15.75" customHeight="1" x14ac:dyDescent="0.2">
      <c r="B904" s="211"/>
      <c r="C904" s="211"/>
      <c r="D904" s="211"/>
      <c r="E904" s="211"/>
      <c r="F904" s="211"/>
      <c r="G904" s="211"/>
      <c r="H904" s="211"/>
    </row>
    <row r="905" spans="2:8" ht="15.75" customHeight="1" x14ac:dyDescent="0.2">
      <c r="B905" s="211"/>
      <c r="C905" s="211"/>
      <c r="D905" s="211"/>
      <c r="E905" s="211"/>
      <c r="F905" s="211"/>
      <c r="G905" s="211"/>
      <c r="H905" s="211"/>
    </row>
    <row r="906" spans="2:8" ht="15.75" customHeight="1" x14ac:dyDescent="0.2">
      <c r="B906" s="211"/>
      <c r="C906" s="211"/>
      <c r="D906" s="211"/>
      <c r="E906" s="211"/>
      <c r="F906" s="211"/>
      <c r="G906" s="211"/>
      <c r="H906" s="211"/>
    </row>
    <row r="907" spans="2:8" ht="15.75" customHeight="1" x14ac:dyDescent="0.2">
      <c r="B907" s="211"/>
      <c r="C907" s="211"/>
      <c r="D907" s="211"/>
      <c r="E907" s="211"/>
      <c r="F907" s="211"/>
      <c r="G907" s="211"/>
      <c r="H907" s="211"/>
    </row>
    <row r="908" spans="2:8" ht="15.75" customHeight="1" x14ac:dyDescent="0.2">
      <c r="B908" s="211"/>
      <c r="C908" s="211"/>
      <c r="D908" s="211"/>
      <c r="E908" s="211"/>
      <c r="F908" s="211"/>
      <c r="G908" s="211"/>
      <c r="H908" s="211"/>
    </row>
    <row r="909" spans="2:8" ht="15.75" customHeight="1" x14ac:dyDescent="0.2">
      <c r="B909" s="211"/>
      <c r="C909" s="211"/>
      <c r="D909" s="211"/>
      <c r="E909" s="211"/>
      <c r="F909" s="211"/>
      <c r="G909" s="211"/>
      <c r="H909" s="211"/>
    </row>
    <row r="910" spans="2:8" ht="15.75" customHeight="1" x14ac:dyDescent="0.2">
      <c r="B910" s="211"/>
      <c r="C910" s="211"/>
      <c r="D910" s="211"/>
      <c r="E910" s="211"/>
      <c r="F910" s="211"/>
      <c r="G910" s="211"/>
      <c r="H910" s="211"/>
    </row>
    <row r="911" spans="2:8" ht="15.75" customHeight="1" x14ac:dyDescent="0.2">
      <c r="B911" s="211"/>
      <c r="C911" s="211"/>
      <c r="D911" s="211"/>
      <c r="E911" s="211"/>
      <c r="F911" s="211"/>
      <c r="G911" s="211"/>
      <c r="H911" s="211"/>
    </row>
    <row r="912" spans="2:8" ht="15.75" customHeight="1" x14ac:dyDescent="0.2">
      <c r="B912" s="211"/>
      <c r="C912" s="211"/>
      <c r="D912" s="211"/>
      <c r="E912" s="211"/>
      <c r="F912" s="211"/>
      <c r="G912" s="211"/>
      <c r="H912" s="211"/>
    </row>
    <row r="913" spans="2:8" ht="15.75" customHeight="1" x14ac:dyDescent="0.2">
      <c r="B913" s="211"/>
      <c r="C913" s="211"/>
      <c r="D913" s="211"/>
      <c r="E913" s="211"/>
      <c r="F913" s="211"/>
      <c r="G913" s="211"/>
      <c r="H913" s="211"/>
    </row>
    <row r="914" spans="2:8" ht="15.75" customHeight="1" x14ac:dyDescent="0.2">
      <c r="B914" s="211"/>
      <c r="C914" s="211"/>
      <c r="D914" s="211"/>
      <c r="E914" s="211"/>
      <c r="F914" s="211"/>
      <c r="G914" s="211"/>
      <c r="H914" s="211"/>
    </row>
    <row r="915" spans="2:8" ht="15.75" customHeight="1" x14ac:dyDescent="0.2">
      <c r="B915" s="211"/>
      <c r="C915" s="211"/>
      <c r="D915" s="211"/>
      <c r="E915" s="211"/>
      <c r="F915" s="211"/>
      <c r="G915" s="211"/>
      <c r="H915" s="211"/>
    </row>
    <row r="916" spans="2:8" ht="15.75" customHeight="1" x14ac:dyDescent="0.2">
      <c r="B916" s="211"/>
      <c r="C916" s="211"/>
      <c r="D916" s="211"/>
      <c r="E916" s="211"/>
      <c r="F916" s="211"/>
      <c r="G916" s="211"/>
      <c r="H916" s="211"/>
    </row>
    <row r="917" spans="2:8" ht="15.75" customHeight="1" x14ac:dyDescent="0.2">
      <c r="B917" s="211"/>
      <c r="C917" s="211"/>
      <c r="D917" s="211"/>
      <c r="E917" s="211"/>
      <c r="F917" s="211"/>
      <c r="G917" s="211"/>
      <c r="H917" s="211"/>
    </row>
    <row r="918" spans="2:8" ht="15.75" customHeight="1" x14ac:dyDescent="0.2">
      <c r="B918" s="211"/>
      <c r="C918" s="211"/>
      <c r="D918" s="211"/>
      <c r="E918" s="211"/>
      <c r="F918" s="211"/>
      <c r="G918" s="211"/>
      <c r="H918" s="211"/>
    </row>
    <row r="919" spans="2:8" ht="15.75" customHeight="1" x14ac:dyDescent="0.2">
      <c r="B919" s="211"/>
      <c r="C919" s="211"/>
      <c r="D919" s="211"/>
      <c r="E919" s="211"/>
      <c r="F919" s="211"/>
      <c r="G919" s="211"/>
      <c r="H919" s="211"/>
    </row>
    <row r="920" spans="2:8" ht="15.75" customHeight="1" x14ac:dyDescent="0.2">
      <c r="B920" s="211"/>
      <c r="C920" s="211"/>
      <c r="D920" s="211"/>
      <c r="E920" s="211"/>
      <c r="F920" s="211"/>
      <c r="G920" s="211"/>
      <c r="H920" s="211"/>
    </row>
    <row r="921" spans="2:8" ht="15.75" customHeight="1" x14ac:dyDescent="0.2">
      <c r="B921" s="211"/>
      <c r="C921" s="211"/>
      <c r="D921" s="211"/>
      <c r="E921" s="211"/>
      <c r="F921" s="211"/>
      <c r="G921" s="211"/>
      <c r="H921" s="211"/>
    </row>
    <row r="922" spans="2:8" ht="15.75" customHeight="1" x14ac:dyDescent="0.2">
      <c r="B922" s="211"/>
      <c r="C922" s="211"/>
      <c r="D922" s="211"/>
      <c r="E922" s="211"/>
      <c r="F922" s="211"/>
      <c r="G922" s="211"/>
      <c r="H922" s="211"/>
    </row>
    <row r="923" spans="2:8" ht="15.75" customHeight="1" x14ac:dyDescent="0.2">
      <c r="B923" s="211"/>
      <c r="C923" s="211"/>
      <c r="D923" s="211"/>
      <c r="E923" s="211"/>
      <c r="F923" s="211"/>
      <c r="G923" s="211"/>
      <c r="H923" s="211"/>
    </row>
    <row r="924" spans="2:8" ht="15.75" customHeight="1" x14ac:dyDescent="0.2">
      <c r="B924" s="211"/>
      <c r="C924" s="211"/>
      <c r="D924" s="211"/>
      <c r="E924" s="211"/>
      <c r="F924" s="211"/>
      <c r="G924" s="211"/>
      <c r="H924" s="211"/>
    </row>
    <row r="925" spans="2:8" ht="15.75" customHeight="1" x14ac:dyDescent="0.2">
      <c r="B925" s="211"/>
      <c r="C925" s="211"/>
      <c r="D925" s="211"/>
      <c r="E925" s="211"/>
      <c r="F925" s="211"/>
      <c r="G925" s="211"/>
      <c r="H925" s="211"/>
    </row>
    <row r="926" spans="2:8" ht="15.75" customHeight="1" x14ac:dyDescent="0.2">
      <c r="B926" s="211"/>
      <c r="C926" s="211"/>
      <c r="D926" s="211"/>
      <c r="E926" s="211"/>
      <c r="F926" s="211"/>
      <c r="G926" s="211"/>
      <c r="H926" s="211"/>
    </row>
    <row r="927" spans="2:8" ht="15.75" customHeight="1" x14ac:dyDescent="0.2">
      <c r="B927" s="211"/>
      <c r="C927" s="211"/>
      <c r="D927" s="211"/>
      <c r="E927" s="211"/>
      <c r="F927" s="211"/>
      <c r="G927" s="211"/>
      <c r="H927" s="211"/>
    </row>
    <row r="928" spans="2:8" ht="15.75" customHeight="1" x14ac:dyDescent="0.2">
      <c r="B928" s="211"/>
      <c r="C928" s="211"/>
      <c r="D928" s="211"/>
      <c r="E928" s="211"/>
      <c r="F928" s="211"/>
      <c r="G928" s="211"/>
      <c r="H928" s="211"/>
    </row>
    <row r="929" spans="2:8" ht="15.75" customHeight="1" x14ac:dyDescent="0.2">
      <c r="B929" s="211"/>
      <c r="C929" s="211"/>
      <c r="D929" s="211"/>
      <c r="E929" s="211"/>
      <c r="F929" s="211"/>
      <c r="G929" s="211"/>
      <c r="H929" s="211"/>
    </row>
    <row r="930" spans="2:8" ht="15.75" customHeight="1" x14ac:dyDescent="0.2">
      <c r="B930" s="211"/>
      <c r="C930" s="211"/>
      <c r="D930" s="211"/>
      <c r="E930" s="211"/>
      <c r="F930" s="211"/>
      <c r="G930" s="211"/>
      <c r="H930" s="211"/>
    </row>
    <row r="931" spans="2:8" ht="15.75" customHeight="1" x14ac:dyDescent="0.2">
      <c r="B931" s="211"/>
      <c r="C931" s="211"/>
      <c r="D931" s="211"/>
      <c r="E931" s="211"/>
      <c r="F931" s="211"/>
      <c r="G931" s="211"/>
      <c r="H931" s="211"/>
    </row>
    <row r="932" spans="2:8" ht="15.75" customHeight="1" x14ac:dyDescent="0.2">
      <c r="B932" s="211"/>
      <c r="C932" s="211"/>
      <c r="D932" s="211"/>
      <c r="E932" s="211"/>
      <c r="F932" s="211"/>
      <c r="G932" s="211"/>
      <c r="H932" s="211"/>
    </row>
    <row r="933" spans="2:8" ht="15.75" customHeight="1" x14ac:dyDescent="0.2">
      <c r="B933" s="211"/>
      <c r="C933" s="211"/>
      <c r="D933" s="211"/>
      <c r="E933" s="211"/>
      <c r="F933" s="211"/>
      <c r="G933" s="211"/>
      <c r="H933" s="211"/>
    </row>
    <row r="934" spans="2:8" ht="15.75" customHeight="1" x14ac:dyDescent="0.2">
      <c r="B934" s="211"/>
      <c r="C934" s="211"/>
      <c r="D934" s="211"/>
      <c r="E934" s="211"/>
      <c r="F934" s="211"/>
      <c r="G934" s="211"/>
      <c r="H934" s="211"/>
    </row>
    <row r="935" spans="2:8" ht="15.75" customHeight="1" x14ac:dyDescent="0.2">
      <c r="B935" s="211"/>
      <c r="C935" s="211"/>
      <c r="D935" s="211"/>
      <c r="E935" s="211"/>
      <c r="F935" s="211"/>
      <c r="G935" s="211"/>
      <c r="H935" s="211"/>
    </row>
    <row r="936" spans="2:8" ht="15.75" customHeight="1" x14ac:dyDescent="0.2">
      <c r="B936" s="211"/>
      <c r="C936" s="211"/>
      <c r="D936" s="211"/>
      <c r="E936" s="211"/>
      <c r="F936" s="211"/>
      <c r="G936" s="211"/>
      <c r="H936" s="211"/>
    </row>
    <row r="937" spans="2:8" ht="15.75" customHeight="1" x14ac:dyDescent="0.2">
      <c r="B937" s="211"/>
      <c r="C937" s="211"/>
      <c r="D937" s="211"/>
      <c r="E937" s="211"/>
      <c r="F937" s="211"/>
      <c r="G937" s="211"/>
      <c r="H937" s="211"/>
    </row>
    <row r="938" spans="2:8" ht="15.75" customHeight="1" x14ac:dyDescent="0.2">
      <c r="B938" s="211"/>
      <c r="C938" s="211"/>
      <c r="D938" s="211"/>
      <c r="E938" s="211"/>
      <c r="F938" s="211"/>
      <c r="G938" s="211"/>
      <c r="H938" s="211"/>
    </row>
    <row r="939" spans="2:8" ht="15.75" customHeight="1" x14ac:dyDescent="0.2">
      <c r="B939" s="211"/>
      <c r="C939" s="211"/>
      <c r="D939" s="211"/>
      <c r="E939" s="211"/>
      <c r="F939" s="211"/>
      <c r="G939" s="211"/>
      <c r="H939" s="211"/>
    </row>
    <row r="940" spans="2:8" ht="15.75" customHeight="1" x14ac:dyDescent="0.2">
      <c r="B940" s="211"/>
      <c r="C940" s="211"/>
      <c r="D940" s="211"/>
      <c r="E940" s="211"/>
      <c r="F940" s="211"/>
      <c r="G940" s="211"/>
      <c r="H940" s="211"/>
    </row>
    <row r="941" spans="2:8" ht="15.75" customHeight="1" x14ac:dyDescent="0.2">
      <c r="B941" s="211"/>
      <c r="C941" s="211"/>
      <c r="D941" s="211"/>
      <c r="E941" s="211"/>
      <c r="F941" s="211"/>
      <c r="G941" s="211"/>
      <c r="H941" s="211"/>
    </row>
    <row r="942" spans="2:8" ht="15.75" customHeight="1" x14ac:dyDescent="0.2">
      <c r="B942" s="211"/>
      <c r="C942" s="211"/>
      <c r="D942" s="211"/>
      <c r="E942" s="211"/>
      <c r="F942" s="211"/>
      <c r="G942" s="211"/>
      <c r="H942" s="211"/>
    </row>
    <row r="943" spans="2:8" ht="15.75" customHeight="1" x14ac:dyDescent="0.2">
      <c r="B943" s="211"/>
      <c r="C943" s="211"/>
      <c r="D943" s="211"/>
      <c r="E943" s="211"/>
      <c r="F943" s="211"/>
      <c r="G943" s="211"/>
      <c r="H943" s="211"/>
    </row>
    <row r="944" spans="2:8" ht="15.75" customHeight="1" x14ac:dyDescent="0.2">
      <c r="B944" s="211"/>
      <c r="C944" s="211"/>
      <c r="D944" s="211"/>
      <c r="E944" s="211"/>
      <c r="F944" s="211"/>
      <c r="G944" s="211"/>
      <c r="H944" s="211"/>
    </row>
    <row r="945" spans="2:8" ht="15.75" customHeight="1" x14ac:dyDescent="0.2">
      <c r="B945" s="211"/>
      <c r="C945" s="211"/>
      <c r="D945" s="211"/>
      <c r="E945" s="211"/>
      <c r="F945" s="211"/>
      <c r="G945" s="211"/>
      <c r="H945" s="211"/>
    </row>
    <row r="946" spans="2:8" ht="15.75" customHeight="1" x14ac:dyDescent="0.2">
      <c r="B946" s="211"/>
      <c r="C946" s="211"/>
      <c r="D946" s="211"/>
      <c r="E946" s="211"/>
      <c r="F946" s="211"/>
      <c r="G946" s="211"/>
      <c r="H946" s="211"/>
    </row>
    <row r="947" spans="2:8" ht="15.75" customHeight="1" x14ac:dyDescent="0.2">
      <c r="B947" s="211"/>
      <c r="C947" s="211"/>
      <c r="D947" s="211"/>
      <c r="E947" s="211"/>
      <c r="F947" s="211"/>
      <c r="G947" s="211"/>
      <c r="H947" s="211"/>
    </row>
    <row r="948" spans="2:8" ht="15.75" customHeight="1" x14ac:dyDescent="0.2">
      <c r="B948" s="211"/>
      <c r="C948" s="211"/>
      <c r="D948" s="211"/>
      <c r="E948" s="211"/>
      <c r="F948" s="211"/>
      <c r="G948" s="211"/>
      <c r="H948" s="211"/>
    </row>
    <row r="949" spans="2:8" ht="15.75" customHeight="1" x14ac:dyDescent="0.2">
      <c r="B949" s="211"/>
      <c r="C949" s="211"/>
      <c r="D949" s="211"/>
      <c r="E949" s="211"/>
      <c r="F949" s="211"/>
      <c r="G949" s="211"/>
      <c r="H949" s="211"/>
    </row>
    <row r="950" spans="2:8" ht="15.75" customHeight="1" x14ac:dyDescent="0.2">
      <c r="B950" s="211"/>
      <c r="C950" s="211"/>
      <c r="D950" s="211"/>
      <c r="E950" s="211"/>
      <c r="F950" s="211"/>
      <c r="G950" s="211"/>
      <c r="H950" s="211"/>
    </row>
    <row r="951" spans="2:8" ht="15.75" customHeight="1" x14ac:dyDescent="0.2">
      <c r="B951" s="211"/>
      <c r="C951" s="211"/>
      <c r="D951" s="211"/>
      <c r="E951" s="211"/>
      <c r="F951" s="211"/>
      <c r="G951" s="211"/>
      <c r="H951" s="211"/>
    </row>
    <row r="952" spans="2:8" ht="15.75" customHeight="1" x14ac:dyDescent="0.2">
      <c r="B952" s="211"/>
      <c r="C952" s="211"/>
      <c r="D952" s="211"/>
      <c r="E952" s="211"/>
      <c r="F952" s="211"/>
      <c r="G952" s="211"/>
      <c r="H952" s="211"/>
    </row>
    <row r="953" spans="2:8" ht="15.75" customHeight="1" x14ac:dyDescent="0.2">
      <c r="B953" s="211"/>
      <c r="C953" s="211"/>
      <c r="D953" s="211"/>
      <c r="E953" s="211"/>
      <c r="F953" s="211"/>
      <c r="G953" s="211"/>
      <c r="H953" s="211"/>
    </row>
    <row r="954" spans="2:8" ht="15.75" customHeight="1" x14ac:dyDescent="0.2">
      <c r="B954" s="211"/>
      <c r="C954" s="211"/>
      <c r="D954" s="211"/>
      <c r="E954" s="211"/>
      <c r="F954" s="211"/>
      <c r="G954" s="211"/>
      <c r="H954" s="211"/>
    </row>
    <row r="955" spans="2:8" ht="15.75" customHeight="1" x14ac:dyDescent="0.2">
      <c r="B955" s="211"/>
      <c r="C955" s="211"/>
      <c r="D955" s="211"/>
      <c r="E955" s="211"/>
      <c r="F955" s="211"/>
      <c r="G955" s="211"/>
      <c r="H955" s="211"/>
    </row>
    <row r="956" spans="2:8" ht="15.75" customHeight="1" x14ac:dyDescent="0.2">
      <c r="B956" s="211"/>
      <c r="C956" s="211"/>
      <c r="D956" s="211"/>
      <c r="E956" s="211"/>
      <c r="F956" s="211"/>
      <c r="G956" s="211"/>
      <c r="H956" s="211"/>
    </row>
    <row r="957" spans="2:8" ht="15.75" customHeight="1" x14ac:dyDescent="0.2">
      <c r="B957" s="211"/>
      <c r="C957" s="211"/>
      <c r="D957" s="211"/>
      <c r="E957" s="211"/>
      <c r="F957" s="211"/>
      <c r="G957" s="211"/>
      <c r="H957" s="211"/>
    </row>
    <row r="958" spans="2:8" ht="15.75" customHeight="1" x14ac:dyDescent="0.2">
      <c r="B958" s="211"/>
      <c r="C958" s="211"/>
      <c r="D958" s="211"/>
      <c r="E958" s="211"/>
      <c r="F958" s="211"/>
      <c r="G958" s="211"/>
      <c r="H958" s="211"/>
    </row>
    <row r="959" spans="2:8" ht="15.75" customHeight="1" x14ac:dyDescent="0.2">
      <c r="B959" s="211"/>
      <c r="C959" s="211"/>
      <c r="D959" s="211"/>
      <c r="E959" s="211"/>
      <c r="F959" s="211"/>
      <c r="G959" s="211"/>
      <c r="H959" s="211"/>
    </row>
    <row r="960" spans="2:8" ht="15.75" customHeight="1" x14ac:dyDescent="0.2">
      <c r="B960" s="211"/>
      <c r="C960" s="211"/>
      <c r="D960" s="211"/>
      <c r="E960" s="211"/>
      <c r="F960" s="211"/>
      <c r="G960" s="211"/>
      <c r="H960" s="211"/>
    </row>
    <row r="961" spans="2:8" ht="15.75" customHeight="1" x14ac:dyDescent="0.2">
      <c r="B961" s="211"/>
      <c r="C961" s="211"/>
      <c r="D961" s="211"/>
      <c r="E961" s="211"/>
      <c r="F961" s="211"/>
      <c r="G961" s="211"/>
      <c r="H961" s="211"/>
    </row>
    <row r="962" spans="2:8" ht="15.75" customHeight="1" x14ac:dyDescent="0.2">
      <c r="B962" s="211"/>
      <c r="C962" s="211"/>
      <c r="D962" s="211"/>
      <c r="E962" s="211"/>
      <c r="F962" s="211"/>
      <c r="G962" s="211"/>
      <c r="H962" s="211"/>
    </row>
    <row r="963" spans="2:8" ht="15.75" customHeight="1" x14ac:dyDescent="0.2">
      <c r="B963" s="211"/>
      <c r="C963" s="211"/>
      <c r="D963" s="211"/>
      <c r="E963" s="211"/>
      <c r="F963" s="211"/>
      <c r="G963" s="211"/>
      <c r="H963" s="211"/>
    </row>
    <row r="964" spans="2:8" ht="15.75" customHeight="1" x14ac:dyDescent="0.2">
      <c r="B964" s="211"/>
      <c r="C964" s="211"/>
      <c r="D964" s="211"/>
      <c r="E964" s="211"/>
      <c r="F964" s="211"/>
      <c r="G964" s="211"/>
      <c r="H964" s="211"/>
    </row>
    <row r="965" spans="2:8" ht="15.75" customHeight="1" x14ac:dyDescent="0.2">
      <c r="B965" s="211"/>
      <c r="C965" s="211"/>
      <c r="D965" s="211"/>
      <c r="E965" s="211"/>
      <c r="F965" s="211"/>
      <c r="G965" s="211"/>
      <c r="H965" s="211"/>
    </row>
    <row r="966" spans="2:8" ht="15.75" customHeight="1" x14ac:dyDescent="0.2">
      <c r="B966" s="211"/>
      <c r="C966" s="211"/>
      <c r="D966" s="211"/>
      <c r="E966" s="211"/>
      <c r="F966" s="211"/>
      <c r="G966" s="211"/>
      <c r="H966" s="211"/>
    </row>
    <row r="967" spans="2:8" ht="15.75" customHeight="1" x14ac:dyDescent="0.2">
      <c r="B967" s="211"/>
      <c r="C967" s="211"/>
      <c r="D967" s="211"/>
      <c r="E967" s="211"/>
      <c r="F967" s="211"/>
      <c r="G967" s="211"/>
      <c r="H967" s="211"/>
    </row>
    <row r="968" spans="2:8" ht="15.75" customHeight="1" x14ac:dyDescent="0.2">
      <c r="B968" s="211"/>
      <c r="C968" s="211"/>
      <c r="D968" s="211"/>
      <c r="E968" s="211"/>
      <c r="F968" s="211"/>
      <c r="G968" s="211"/>
      <c r="H968" s="211"/>
    </row>
    <row r="969" spans="2:8" ht="15.75" customHeight="1" x14ac:dyDescent="0.2">
      <c r="B969" s="211"/>
      <c r="C969" s="211"/>
      <c r="D969" s="211"/>
      <c r="E969" s="211"/>
      <c r="F969" s="211"/>
      <c r="G969" s="211"/>
      <c r="H969" s="211"/>
    </row>
    <row r="970" spans="2:8" ht="15.75" customHeight="1" x14ac:dyDescent="0.2">
      <c r="B970" s="211"/>
      <c r="C970" s="211"/>
      <c r="D970" s="211"/>
      <c r="E970" s="211"/>
      <c r="F970" s="211"/>
      <c r="G970" s="211"/>
      <c r="H970" s="211"/>
    </row>
    <row r="971" spans="2:8" ht="15.75" customHeight="1" x14ac:dyDescent="0.2">
      <c r="B971" s="211"/>
      <c r="C971" s="211"/>
      <c r="D971" s="211"/>
      <c r="E971" s="211"/>
      <c r="F971" s="211"/>
      <c r="G971" s="211"/>
      <c r="H971" s="211"/>
    </row>
    <row r="972" spans="2:8" ht="15.75" customHeight="1" x14ac:dyDescent="0.2">
      <c r="B972" s="211"/>
      <c r="C972" s="211"/>
      <c r="D972" s="211"/>
      <c r="E972" s="211"/>
      <c r="F972" s="211"/>
      <c r="G972" s="211"/>
      <c r="H972" s="211"/>
    </row>
    <row r="973" spans="2:8" ht="15.75" customHeight="1" x14ac:dyDescent="0.2">
      <c r="B973" s="211"/>
      <c r="C973" s="211"/>
      <c r="D973" s="211"/>
      <c r="E973" s="211"/>
      <c r="F973" s="211"/>
      <c r="G973" s="211"/>
      <c r="H973" s="211"/>
    </row>
    <row r="974" spans="2:8" ht="15.75" customHeight="1" x14ac:dyDescent="0.2">
      <c r="B974" s="211"/>
      <c r="C974" s="211"/>
      <c r="D974" s="211"/>
      <c r="E974" s="211"/>
      <c r="F974" s="211"/>
      <c r="G974" s="211"/>
      <c r="H974" s="211"/>
    </row>
    <row r="975" spans="2:8" ht="15.75" customHeight="1" x14ac:dyDescent="0.2">
      <c r="B975" s="211"/>
      <c r="C975" s="211"/>
      <c r="D975" s="211"/>
      <c r="E975" s="211"/>
      <c r="F975" s="211"/>
      <c r="G975" s="211"/>
      <c r="H975" s="211"/>
    </row>
    <row r="976" spans="2:8" ht="15.75" customHeight="1" x14ac:dyDescent="0.2">
      <c r="B976" s="211"/>
      <c r="C976" s="211"/>
      <c r="D976" s="211"/>
      <c r="E976" s="211"/>
      <c r="F976" s="211"/>
      <c r="G976" s="211"/>
      <c r="H976" s="211"/>
    </row>
    <row r="977" spans="2:8" ht="15.75" customHeight="1" x14ac:dyDescent="0.2">
      <c r="B977" s="211"/>
      <c r="C977" s="211"/>
      <c r="D977" s="211"/>
      <c r="E977" s="211"/>
      <c r="F977" s="211"/>
      <c r="G977" s="211"/>
      <c r="H977" s="211"/>
    </row>
    <row r="978" spans="2:8" ht="15.75" customHeight="1" x14ac:dyDescent="0.2">
      <c r="B978" s="211"/>
      <c r="C978" s="211"/>
      <c r="D978" s="211"/>
      <c r="E978" s="211"/>
      <c r="F978" s="211"/>
      <c r="G978" s="211"/>
      <c r="H978" s="211"/>
    </row>
    <row r="979" spans="2:8" ht="15.75" customHeight="1" x14ac:dyDescent="0.2">
      <c r="B979" s="211"/>
      <c r="C979" s="211"/>
      <c r="D979" s="211"/>
      <c r="E979" s="211"/>
      <c r="F979" s="211"/>
      <c r="G979" s="211"/>
      <c r="H979" s="211"/>
    </row>
    <row r="980" spans="2:8" ht="15.75" customHeight="1" x14ac:dyDescent="0.2">
      <c r="B980" s="211"/>
      <c r="C980" s="211"/>
      <c r="D980" s="211"/>
      <c r="E980" s="211"/>
      <c r="F980" s="211"/>
      <c r="G980" s="211"/>
      <c r="H980" s="211"/>
    </row>
    <row r="981" spans="2:8" ht="15.75" customHeight="1" x14ac:dyDescent="0.2">
      <c r="B981" s="211"/>
      <c r="C981" s="211"/>
      <c r="D981" s="211"/>
      <c r="E981" s="211"/>
      <c r="F981" s="211"/>
      <c r="G981" s="211"/>
      <c r="H981" s="211"/>
    </row>
    <row r="982" spans="2:8" ht="15.75" customHeight="1" x14ac:dyDescent="0.2">
      <c r="B982" s="211"/>
      <c r="C982" s="211"/>
      <c r="D982" s="211"/>
      <c r="E982" s="211"/>
      <c r="F982" s="211"/>
      <c r="G982" s="211"/>
      <c r="H982" s="211"/>
    </row>
    <row r="983" spans="2:8" ht="15.75" customHeight="1" x14ac:dyDescent="0.2">
      <c r="B983" s="211"/>
      <c r="C983" s="211"/>
      <c r="D983" s="211"/>
      <c r="E983" s="211"/>
      <c r="F983" s="211"/>
      <c r="G983" s="211"/>
      <c r="H983" s="211"/>
    </row>
    <row r="984" spans="2:8" ht="15.75" customHeight="1" x14ac:dyDescent="0.2">
      <c r="B984" s="211"/>
      <c r="C984" s="211"/>
      <c r="D984" s="211"/>
      <c r="E984" s="211"/>
      <c r="F984" s="211"/>
      <c r="G984" s="211"/>
      <c r="H984" s="211"/>
    </row>
    <row r="985" spans="2:8" ht="15.75" customHeight="1" x14ac:dyDescent="0.2">
      <c r="B985" s="211"/>
      <c r="C985" s="211"/>
      <c r="D985" s="211"/>
      <c r="E985" s="211"/>
      <c r="F985" s="211"/>
      <c r="G985" s="211"/>
      <c r="H985" s="211"/>
    </row>
    <row r="986" spans="2:8" ht="15.75" customHeight="1" x14ac:dyDescent="0.2">
      <c r="B986" s="211"/>
      <c r="C986" s="211"/>
      <c r="D986" s="211"/>
      <c r="E986" s="211"/>
      <c r="F986" s="211"/>
      <c r="G986" s="211"/>
      <c r="H986" s="211"/>
    </row>
    <row r="987" spans="2:8" ht="15.75" customHeight="1" x14ac:dyDescent="0.2">
      <c r="B987" s="211"/>
      <c r="C987" s="211"/>
      <c r="D987" s="211"/>
      <c r="E987" s="211"/>
      <c r="F987" s="211"/>
      <c r="G987" s="211"/>
      <c r="H987" s="211"/>
    </row>
    <row r="988" spans="2:8" ht="15.75" customHeight="1" x14ac:dyDescent="0.2">
      <c r="B988" s="211"/>
      <c r="C988" s="211"/>
      <c r="D988" s="211"/>
      <c r="E988" s="211"/>
      <c r="F988" s="211"/>
      <c r="G988" s="211"/>
      <c r="H988" s="211"/>
    </row>
    <row r="989" spans="2:8" ht="15.75" customHeight="1" x14ac:dyDescent="0.2">
      <c r="B989" s="211"/>
      <c r="C989" s="211"/>
      <c r="D989" s="211"/>
      <c r="E989" s="211"/>
      <c r="F989" s="211"/>
      <c r="G989" s="211"/>
      <c r="H989" s="211"/>
    </row>
    <row r="990" spans="2:8" ht="15.75" customHeight="1" x14ac:dyDescent="0.2">
      <c r="B990" s="211"/>
      <c r="C990" s="211"/>
      <c r="D990" s="211"/>
      <c r="E990" s="211"/>
      <c r="F990" s="211"/>
      <c r="G990" s="211"/>
      <c r="H990" s="211"/>
    </row>
    <row r="991" spans="2:8" ht="15.75" customHeight="1" x14ac:dyDescent="0.2">
      <c r="B991" s="211"/>
      <c r="C991" s="211"/>
      <c r="D991" s="211"/>
      <c r="E991" s="211"/>
      <c r="F991" s="211"/>
      <c r="G991" s="211"/>
      <c r="H991" s="211"/>
    </row>
    <row r="992" spans="2:8" ht="15.75" customHeight="1" x14ac:dyDescent="0.2">
      <c r="B992" s="211"/>
      <c r="C992" s="211"/>
      <c r="D992" s="211"/>
      <c r="E992" s="211"/>
      <c r="F992" s="211"/>
      <c r="G992" s="211"/>
      <c r="H992" s="211"/>
    </row>
    <row r="993" spans="2:8" ht="15.75" customHeight="1" x14ac:dyDescent="0.2">
      <c r="B993" s="211"/>
      <c r="C993" s="211"/>
      <c r="D993" s="211"/>
      <c r="E993" s="211"/>
      <c r="F993" s="211"/>
      <c r="G993" s="211"/>
      <c r="H993" s="211"/>
    </row>
    <row r="994" spans="2:8" ht="15.75" customHeight="1" x14ac:dyDescent="0.2">
      <c r="B994" s="211"/>
      <c r="C994" s="211"/>
      <c r="D994" s="211"/>
      <c r="E994" s="211"/>
      <c r="F994" s="211"/>
      <c r="G994" s="211"/>
      <c r="H994" s="211"/>
    </row>
    <row r="995" spans="2:8" ht="15.75" customHeight="1" x14ac:dyDescent="0.2">
      <c r="B995" s="211"/>
      <c r="C995" s="211"/>
      <c r="D995" s="211"/>
      <c r="E995" s="211"/>
      <c r="F995" s="211"/>
      <c r="G995" s="211"/>
      <c r="H995" s="211"/>
    </row>
    <row r="996" spans="2:8" ht="15.75" customHeight="1" x14ac:dyDescent="0.2">
      <c r="B996" s="211"/>
      <c r="C996" s="211"/>
      <c r="D996" s="211"/>
      <c r="E996" s="211"/>
      <c r="F996" s="211"/>
      <c r="G996" s="211"/>
      <c r="H996" s="211"/>
    </row>
    <row r="997" spans="2:8" ht="15.75" customHeight="1" x14ac:dyDescent="0.2">
      <c r="B997" s="211"/>
      <c r="C997" s="211"/>
      <c r="D997" s="211"/>
      <c r="E997" s="211"/>
      <c r="F997" s="211"/>
      <c r="G997" s="211"/>
      <c r="H997" s="211"/>
    </row>
    <row r="998" spans="2:8" ht="15.75" customHeight="1" x14ac:dyDescent="0.2">
      <c r="B998" s="211"/>
      <c r="C998" s="211"/>
      <c r="D998" s="211"/>
      <c r="E998" s="211"/>
      <c r="F998" s="211"/>
      <c r="G998" s="211"/>
      <c r="H998" s="211"/>
    </row>
    <row r="999" spans="2:8" ht="15.75" customHeight="1" x14ac:dyDescent="0.2">
      <c r="B999" s="211"/>
      <c r="C999" s="211"/>
      <c r="D999" s="211"/>
      <c r="E999" s="211"/>
      <c r="F999" s="211"/>
      <c r="G999" s="211"/>
      <c r="H999" s="211"/>
    </row>
    <row r="1000" spans="2:8" ht="15.75" customHeight="1" x14ac:dyDescent="0.2">
      <c r="B1000" s="211"/>
      <c r="C1000" s="211"/>
      <c r="D1000" s="211"/>
      <c r="E1000" s="211"/>
      <c r="F1000" s="211"/>
      <c r="G1000" s="211"/>
      <c r="H1000" s="211"/>
    </row>
    <row r="1001" spans="2:8" ht="15.75" customHeight="1" x14ac:dyDescent="0.2">
      <c r="B1001" s="211"/>
      <c r="C1001" s="211"/>
      <c r="D1001" s="211"/>
      <c r="E1001" s="211"/>
      <c r="F1001" s="211"/>
      <c r="G1001" s="211"/>
      <c r="H1001" s="211"/>
    </row>
  </sheetData>
  <mergeCells count="66">
    <mergeCell ref="B2:H2"/>
    <mergeCell ref="B4:H5"/>
    <mergeCell ref="B6:H6"/>
    <mergeCell ref="B7:H7"/>
    <mergeCell ref="B9:H10"/>
    <mergeCell ref="C12:D12"/>
    <mergeCell ref="E12:F12"/>
    <mergeCell ref="C14:D14"/>
    <mergeCell ref="E14:F14"/>
    <mergeCell ref="C15:D15"/>
    <mergeCell ref="E15:F15"/>
    <mergeCell ref="C16:D16"/>
    <mergeCell ref="E16:F16"/>
    <mergeCell ref="E13:F13"/>
    <mergeCell ref="C13:D13"/>
    <mergeCell ref="C17:D17"/>
    <mergeCell ref="E17:F17"/>
    <mergeCell ref="C18:D18"/>
    <mergeCell ref="C19:D19"/>
    <mergeCell ref="C20:D20"/>
    <mergeCell ref="C21:D21"/>
    <mergeCell ref="C23:D23"/>
    <mergeCell ref="C22:D22"/>
    <mergeCell ref="E18:F18"/>
    <mergeCell ref="E19:F19"/>
    <mergeCell ref="E20:F20"/>
    <mergeCell ref="E21:F21"/>
    <mergeCell ref="E23:F23"/>
    <mergeCell ref="E22:F22"/>
    <mergeCell ref="E24:F24"/>
    <mergeCell ref="C24:D24"/>
    <mergeCell ref="C25:D25"/>
    <mergeCell ref="C26:D26"/>
    <mergeCell ref="C27:D27"/>
    <mergeCell ref="C28:D28"/>
    <mergeCell ref="C29:D29"/>
    <mergeCell ref="C30:D30"/>
    <mergeCell ref="E25:F25"/>
    <mergeCell ref="E26:F26"/>
    <mergeCell ref="E27:F27"/>
    <mergeCell ref="E28:F28"/>
    <mergeCell ref="E29:F29"/>
    <mergeCell ref="E30:F30"/>
    <mergeCell ref="E31:F31"/>
    <mergeCell ref="E39:F39"/>
    <mergeCell ref="B41:H41"/>
    <mergeCell ref="B42:H42"/>
    <mergeCell ref="B43:H43"/>
    <mergeCell ref="C39:D39"/>
    <mergeCell ref="C31:D31"/>
    <mergeCell ref="C32:D32"/>
    <mergeCell ref="C33:D33"/>
    <mergeCell ref="C34:D34"/>
    <mergeCell ref="C35:D35"/>
    <mergeCell ref="C36:D36"/>
    <mergeCell ref="C37:D37"/>
    <mergeCell ref="C38:D38"/>
    <mergeCell ref="B44:H44"/>
    <mergeCell ref="B45:H45"/>
    <mergeCell ref="E32:F32"/>
    <mergeCell ref="E33:F33"/>
    <mergeCell ref="E34:F34"/>
    <mergeCell ref="E35:F35"/>
    <mergeCell ref="E36:F36"/>
    <mergeCell ref="E37:F37"/>
    <mergeCell ref="E38:F38"/>
  </mergeCells>
  <pageMargins left="0.70866141732283472" right="0.70866141732283472" top="0.74803149606299213" bottom="0.74803149606299213" header="0" footer="0"/>
  <pageSetup scale="37" orientation="portrait" r:id="rId1"/>
  <headerFooter>
    <oddHeader>&amp;L&amp;G&amp;C
MATRIZ DE RIESGOS</oddHeader>
    <oddFooter>&amp;RCódigo:E-02-F-014
Versión: 5
Fecha: Ver Isolución</oddFooter>
  </headerFooter>
  <rowBreaks count="1" manualBreakCount="1">
    <brk id="46" max="16383" man="1"/>
  </rowBreaks>
  <colBreaks count="1" manualBreakCount="1">
    <brk id="8" max="1048575" man="1"/>
  </colBreaks>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pageSetUpPr fitToPage="1"/>
  </sheetPr>
  <dimension ref="A1:AN306"/>
  <sheetViews>
    <sheetView tabSelected="1" zoomScale="55" zoomScaleNormal="55" zoomScaleSheetLayoutView="25" workbookViewId="0">
      <selection activeCell="M4" sqref="M4"/>
    </sheetView>
  </sheetViews>
  <sheetFormatPr baseColWidth="10" defaultColWidth="9" defaultRowHeight="15" customHeight="1" x14ac:dyDescent="0.2"/>
  <cols>
    <col min="1" max="1" width="7" style="209" customWidth="1"/>
    <col min="2" max="2" width="9.875" style="209" customWidth="1"/>
    <col min="3" max="3" width="19.75" style="235" customWidth="1"/>
    <col min="4" max="4" width="23.75" style="565" customWidth="1"/>
    <col min="5" max="5" width="15.25" style="209" customWidth="1"/>
    <col min="6" max="6" width="31.375" style="210" customWidth="1"/>
    <col min="7" max="7" width="50.375" style="210" customWidth="1"/>
    <col min="8" max="8" width="33.625" style="210" customWidth="1"/>
    <col min="9" max="9" width="20.125" style="210" customWidth="1"/>
    <col min="10" max="10" width="16.5" style="210" customWidth="1"/>
    <col min="11" max="14" width="10.75" style="210" customWidth="1"/>
    <col min="15" max="15" width="15" style="210" customWidth="1"/>
    <col min="16" max="16" width="21.25" style="210" customWidth="1"/>
    <col min="17" max="19" width="10.75" style="210" customWidth="1"/>
    <col min="20" max="20" width="9" style="210" customWidth="1"/>
    <col min="21" max="21" width="36.5" style="210" customWidth="1"/>
    <col min="22" max="35" width="7" style="210" customWidth="1"/>
    <col min="36" max="36" width="48.625" style="210" customWidth="1"/>
    <col min="37" max="40" width="13.25" style="210" customWidth="1"/>
    <col min="41" max="16384" width="9" style="209"/>
  </cols>
  <sheetData>
    <row r="1" spans="1:40" ht="80.25" customHeight="1" x14ac:dyDescent="0.2">
      <c r="A1" s="626" t="s">
        <v>140</v>
      </c>
      <c r="B1" s="627"/>
      <c r="C1" s="627"/>
      <c r="D1" s="628"/>
      <c r="E1" s="627"/>
      <c r="F1" s="627"/>
      <c r="G1" s="627"/>
      <c r="H1" s="627"/>
      <c r="I1" s="627"/>
      <c r="J1" s="627"/>
      <c r="K1" s="627"/>
      <c r="L1" s="629"/>
      <c r="M1" s="626" t="s">
        <v>141</v>
      </c>
      <c r="N1" s="627"/>
      <c r="O1" s="627"/>
      <c r="P1" s="627"/>
      <c r="Q1" s="627"/>
      <c r="R1" s="627"/>
      <c r="S1" s="629"/>
      <c r="T1" s="626" t="s">
        <v>142</v>
      </c>
      <c r="U1" s="627"/>
      <c r="V1" s="627"/>
      <c r="W1" s="627"/>
      <c r="X1" s="627"/>
      <c r="Y1" s="627"/>
      <c r="Z1" s="627"/>
      <c r="AA1" s="627"/>
      <c r="AB1" s="629"/>
      <c r="AC1" s="626" t="s">
        <v>143</v>
      </c>
      <c r="AD1" s="627"/>
      <c r="AE1" s="627"/>
      <c r="AF1" s="627"/>
      <c r="AG1" s="627"/>
      <c r="AH1" s="627"/>
      <c r="AI1" s="629"/>
      <c r="AJ1" s="624" t="s">
        <v>144</v>
      </c>
      <c r="AK1" s="625"/>
      <c r="AL1" s="625"/>
      <c r="AM1" s="625"/>
      <c r="AN1" s="625"/>
    </row>
    <row r="2" spans="1:40" ht="45" customHeight="1" x14ac:dyDescent="0.2">
      <c r="B2" s="439" t="s">
        <v>145</v>
      </c>
      <c r="C2" s="440" t="s">
        <v>86</v>
      </c>
      <c r="D2" s="441" t="s">
        <v>88</v>
      </c>
      <c r="E2" s="441" t="s">
        <v>90</v>
      </c>
      <c r="F2" s="440" t="s">
        <v>146</v>
      </c>
      <c r="G2" s="441" t="s">
        <v>147</v>
      </c>
      <c r="H2" s="441" t="s">
        <v>148</v>
      </c>
      <c r="I2" s="440" t="s">
        <v>149</v>
      </c>
      <c r="J2" s="440" t="s">
        <v>99</v>
      </c>
      <c r="K2" s="442" t="s">
        <v>101</v>
      </c>
      <c r="L2" s="440" t="s">
        <v>150</v>
      </c>
      <c r="M2" s="440" t="s">
        <v>151</v>
      </c>
      <c r="N2" s="442" t="s">
        <v>152</v>
      </c>
      <c r="O2" s="440" t="s">
        <v>153</v>
      </c>
      <c r="P2" s="440" t="s">
        <v>154</v>
      </c>
      <c r="Q2" s="440" t="s">
        <v>155</v>
      </c>
      <c r="R2" s="442" t="s">
        <v>152</v>
      </c>
      <c r="S2" s="440" t="s">
        <v>107</v>
      </c>
      <c r="T2" s="443" t="s">
        <v>156</v>
      </c>
      <c r="U2" s="440" t="s">
        <v>109</v>
      </c>
      <c r="V2" s="440" t="s">
        <v>111</v>
      </c>
      <c r="W2" s="630" t="s">
        <v>157</v>
      </c>
      <c r="X2" s="631"/>
      <c r="Y2" s="631"/>
      <c r="Z2" s="631"/>
      <c r="AA2" s="631"/>
      <c r="AB2" s="632"/>
      <c r="AC2" s="633" t="s">
        <v>158</v>
      </c>
      <c r="AD2" s="443" t="s">
        <v>159</v>
      </c>
      <c r="AE2" s="443" t="s">
        <v>152</v>
      </c>
      <c r="AF2" s="443" t="s">
        <v>160</v>
      </c>
      <c r="AG2" s="443" t="s">
        <v>152</v>
      </c>
      <c r="AH2" s="443" t="s">
        <v>161</v>
      </c>
      <c r="AI2" s="443" t="s">
        <v>127</v>
      </c>
      <c r="AJ2" s="440" t="s">
        <v>162</v>
      </c>
      <c r="AK2" s="440" t="s">
        <v>163</v>
      </c>
      <c r="AL2" s="440" t="s">
        <v>164</v>
      </c>
      <c r="AM2" s="440" t="s">
        <v>165</v>
      </c>
      <c r="AN2" s="444" t="s">
        <v>131</v>
      </c>
    </row>
    <row r="3" spans="1:40" s="571" customFormat="1" ht="94.5" customHeight="1" x14ac:dyDescent="0.2">
      <c r="A3" s="566" t="s">
        <v>166</v>
      </c>
      <c r="B3" s="566" t="s">
        <v>145</v>
      </c>
      <c r="C3" s="567" t="s">
        <v>86</v>
      </c>
      <c r="D3" s="568" t="s">
        <v>167</v>
      </c>
      <c r="E3" s="568" t="s">
        <v>168</v>
      </c>
      <c r="F3" s="567" t="s">
        <v>146</v>
      </c>
      <c r="G3" s="604" t="s">
        <v>169</v>
      </c>
      <c r="H3" s="568" t="s">
        <v>148</v>
      </c>
      <c r="I3" s="567" t="s">
        <v>149</v>
      </c>
      <c r="J3" s="567" t="s">
        <v>99</v>
      </c>
      <c r="K3" s="569" t="s">
        <v>101</v>
      </c>
      <c r="L3" s="567" t="s">
        <v>150</v>
      </c>
      <c r="M3" s="567" t="s">
        <v>151</v>
      </c>
      <c r="N3" s="569" t="s">
        <v>152</v>
      </c>
      <c r="O3" s="567" t="s">
        <v>153</v>
      </c>
      <c r="P3" s="567" t="s">
        <v>154</v>
      </c>
      <c r="Q3" s="567" t="s">
        <v>155</v>
      </c>
      <c r="R3" s="569" t="s">
        <v>152</v>
      </c>
      <c r="S3" s="567" t="s">
        <v>107</v>
      </c>
      <c r="T3" s="564" t="s">
        <v>156</v>
      </c>
      <c r="U3" s="567" t="s">
        <v>109</v>
      </c>
      <c r="V3" s="567" t="s">
        <v>111</v>
      </c>
      <c r="W3" s="445" t="s">
        <v>170</v>
      </c>
      <c r="X3" s="445" t="s">
        <v>171</v>
      </c>
      <c r="Y3" s="445" t="s">
        <v>172</v>
      </c>
      <c r="Z3" s="445" t="s">
        <v>173</v>
      </c>
      <c r="AA3" s="445" t="s">
        <v>174</v>
      </c>
      <c r="AB3" s="445" t="s">
        <v>175</v>
      </c>
      <c r="AC3" s="634"/>
      <c r="AD3" s="564" t="s">
        <v>159</v>
      </c>
      <c r="AE3" s="564" t="s">
        <v>152</v>
      </c>
      <c r="AF3" s="564" t="s">
        <v>160</v>
      </c>
      <c r="AG3" s="564" t="s">
        <v>152</v>
      </c>
      <c r="AH3" s="564" t="s">
        <v>161</v>
      </c>
      <c r="AI3" s="564" t="s">
        <v>127</v>
      </c>
      <c r="AJ3" s="567" t="s">
        <v>162</v>
      </c>
      <c r="AK3" s="567" t="s">
        <v>163</v>
      </c>
      <c r="AL3" s="567" t="s">
        <v>164</v>
      </c>
      <c r="AM3" s="567" t="s">
        <v>165</v>
      </c>
      <c r="AN3" s="570" t="s">
        <v>131</v>
      </c>
    </row>
    <row r="4" spans="1:40" ht="167.25" customHeight="1" x14ac:dyDescent="0.2">
      <c r="A4" s="446">
        <v>1</v>
      </c>
      <c r="B4" s="446" t="s">
        <v>176</v>
      </c>
      <c r="C4" s="447" t="s">
        <v>177</v>
      </c>
      <c r="D4" s="447" t="str">
        <f>IFERROR(INDEX('Base de datos gestión'!$D$28:$D$50,MATCH(C4,'Base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4" s="447" t="str">
        <f>IFERROR(INDEX('Base de datos gestión'!$E$28:$E$50,MATCH(C4,'Base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4" s="448" t="s">
        <v>178</v>
      </c>
      <c r="G4" s="449" t="s">
        <v>179</v>
      </c>
      <c r="H4" s="448" t="s">
        <v>180</v>
      </c>
      <c r="I4" s="448" t="s">
        <v>181</v>
      </c>
      <c r="J4" s="438" t="s">
        <v>182</v>
      </c>
      <c r="K4" s="438" t="s">
        <v>183</v>
      </c>
      <c r="L4" s="438">
        <v>60</v>
      </c>
      <c r="M4" s="450" t="str">
        <f>IF(L4&lt;=0,"",IF(L4&lt;=2,"Muy Baja",IF(L4&lt;=24,"Baja",IF(L4&lt;=500,"Media",IF(L4&lt;=5000,"Alta","Muy Alta")))))</f>
        <v>Media</v>
      </c>
      <c r="N4" s="451">
        <f>IF(M4="","",IF(M4="Muy Baja",0.2,IF(M4="Baja",0.4,IF(M4="Media",0.6,IF(M4="Alta",0.8,IF(M4="Muy Alta",1,))))))</f>
        <v>0.6</v>
      </c>
      <c r="O4" s="452" t="s">
        <v>184</v>
      </c>
      <c r="P4" s="451" t="str">
        <f>IF(NOT(ISERROR(MATCH(O4,'Tabla Impacto'!$B$222:$B$224,0))),'Tabla Impacto'!$F$224&amp;"Por favor no seleccionar los criterios de impacto(Afectación Económica o presupuestal y Pérdida Reputacional)",O4)</f>
        <v>El riesgo afecta la imagen de la entidad con algunos usuarios de relevancia frente al logro de los objetivos</v>
      </c>
      <c r="Q4" s="453" t="s">
        <v>185</v>
      </c>
      <c r="R4" s="452">
        <f t="shared" ref="R4:R77" si="0">IF(Q4="","",IF(Q4="Leve",0.2,IF(Q4="Menor",0.4,IF(Q4="Moderado",0.6,IF(Q4="Mayor",0.8,IF(Q4="Catastrófico",1,))))))</f>
        <v>0.4</v>
      </c>
      <c r="S4" s="454" t="str">
        <f t="shared" ref="S4:S77" si="1">IF(OR(AND(M4="Muy Baja",Q4="Leve"),AND(M4="Muy Baja",Q4="Menor"),AND(M4="Baja",Q4="Leve")),"Bajo",IF(OR(AND(M4="Muy baja",Q4="Moderado"),AND(M4="Baja",Q4="Menor"),AND(M4="Baja",Q4="Moderado"),AND(M4="Media",Q4="Leve"),AND(M4="Media",Q4="Menor"),AND(M4="Media",Q4="Moderado"),AND(M4="Alta",Q4="Leve"),AND(M4="Alta",Q4="Menor")),"Moderado",IF(OR(AND(M4="Muy Baja",Q4="Mayor"),AND(M4="Baja",Q4="Mayor"),AND(M4="Media",Q4="Mayor"),AND(M4="Alta",Q4="Moderado"),AND(M4="Alta",Q4="Mayor"),AND(M4="Muy Alta",Q4="Leve"),AND(M4="Muy Alta",Q4="Menor"),AND(M4="Muy Alta",Q4="Moderado"),AND(M4="Muy Alta",Q4="Mayor")),"Alto",IF(OR(AND(M4="Muy Baja",Q4="Catastrófico"),AND(M4="Baja",Q4="Catastrófico"),AND(M4="Media",Q4="Catastrófico"),AND(M4="Alta",Q4="Catastrófico"),AND(M4="Muy Alta",Q4="Catastrófico")),"Extremo",""))))</f>
        <v>Moderado</v>
      </c>
      <c r="T4" s="455">
        <v>1</v>
      </c>
      <c r="U4" s="456" t="s">
        <v>186</v>
      </c>
      <c r="V4" s="457" t="str">
        <f t="shared" ref="V4:V77" si="2">IF(OR(W4="Preventivo",W4="Detectivo"),"Probabilidad",IF(W4="Correctivo","Impacto",""))</f>
        <v>Probabilidad</v>
      </c>
      <c r="W4" s="458" t="s">
        <v>187</v>
      </c>
      <c r="X4" s="458" t="s">
        <v>188</v>
      </c>
      <c r="Y4" s="459" t="str">
        <f t="shared" ref="Y4:Y61" si="3">IF(AND(W4="Preventivo",X4="Automático"),"50%",IF(AND(W4="Preventivo",X4="Manual"),"40%",IF(AND(W4="Detectivo",X4="Automático"),"40%",IF(AND(W4="Detectivo",X4="Manual"),"30%",IF(AND(W4="Correctivo",X4="Automático"),"35%",IF(AND(W4="Correctivo",X4="Manual"),"25%",""))))))</f>
        <v>40%</v>
      </c>
      <c r="Z4" s="458" t="s">
        <v>189</v>
      </c>
      <c r="AA4" s="458" t="s">
        <v>190</v>
      </c>
      <c r="AB4" s="458" t="s">
        <v>191</v>
      </c>
      <c r="AC4" s="460">
        <f>IFERROR(IF(V4="Probabilidad",(N4-(+N4*Y4)),IF(V4="Impacto",N4,"")),"")</f>
        <v>0.36</v>
      </c>
      <c r="AD4" s="461" t="str">
        <f t="shared" ref="AD4:AD61" si="4">IFERROR(IF(AC4="","",IF(AC4&lt;=0.2,"Muy Baja",IF(AC4&lt;=0.4,"Baja",IF(AC4&lt;=0.6,"Media",IF(AC4&lt;=0.8,"Alta","Muy Alta"))))),"")</f>
        <v>Baja</v>
      </c>
      <c r="AE4" s="462">
        <f t="shared" ref="AE4:AE61" si="5">+AC4</f>
        <v>0.36</v>
      </c>
      <c r="AF4" s="461" t="str">
        <f t="shared" ref="AF4:AF61" si="6">IFERROR(IF(AG4="","",IF(AG4&lt;=0.2,"Leve",IF(AG4&lt;=0.4,"Menor",IF(AG4&lt;=0.6,"Moderado",IF(AG4&lt;=0.8,"Mayor","Catastrófico"))))),"")</f>
        <v>Menor</v>
      </c>
      <c r="AG4" s="462">
        <f>IFERROR(IF(V4="Impacto",(R4-(+R4*Y4)),IF(V4="Probabilidad",R4,"")),"")</f>
        <v>0.4</v>
      </c>
      <c r="AH4" s="463" t="str">
        <f t="shared" ref="AH4:AH61" si="7">IFERROR(IF(OR(AND(AD4="Muy Baja",AF4="Leve"),AND(AD4="Muy Baja",AF4="Menor"),AND(AD4="Baja",AF4="Leve")),"Bajo",IF(OR(AND(AD4="Muy baja",AF4="Moderado"),AND(AD4="Baja",AF4="Menor"),AND(AD4="Baja",AF4="Moderado"),AND(AD4="Media",AF4="Leve"),AND(AD4="Media",AF4="Menor"),AND(AD4="Media",AF4="Moderado"),AND(AD4="Alta",AF4="Leve"),AND(AD4="Alta",AF4="Menor")),"Moderado",IF(OR(AND(AD4="Muy Baja",AF4="Mayor"),AND(AD4="Baja",AF4="Mayor"),AND(AD4="Media",AF4="Mayor"),AND(AD4="Alta",AF4="Moderado"),AND(AD4="Alta",AF4="Mayor"),AND(AD4="Muy Alta",AF4="Leve"),AND(AD4="Muy Alta",AF4="Menor"),AND(AD4="Muy Alta",AF4="Moderado"),AND(AD4="Muy Alta",AF4="Mayor")),"Alto",IF(OR(AND(AD4="Muy Baja",AF4="Catastrófico"),AND(AD4="Baja",AF4="Catastrófico"),AND(AD4="Media",AF4="Catastrófico"),AND(AD4="Alta",AF4="Catastrófico"),AND(AD4="Muy Alta",AF4="Catastrófico")),"Extremo","")))),"")</f>
        <v>Moderado</v>
      </c>
      <c r="AI4" s="464" t="s">
        <v>192</v>
      </c>
      <c r="AJ4" s="465"/>
      <c r="AK4" s="465"/>
      <c r="AL4" s="466"/>
      <c r="AM4" s="467"/>
      <c r="AN4" s="468"/>
    </row>
    <row r="5" spans="1:40" ht="151.5" customHeight="1" x14ac:dyDescent="0.2">
      <c r="A5" s="469">
        <v>2</v>
      </c>
      <c r="B5" s="469" t="s">
        <v>197</v>
      </c>
      <c r="C5" s="470" t="s">
        <v>177</v>
      </c>
      <c r="D5" s="447" t="str">
        <f>IFERROR(INDEX('Base de datos gestión'!$D$28:$D$50,MATCH(C5,'Base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5" s="447" t="str">
        <f>IFERROR(INDEX('Base de datos gestión'!$E$28:$E$50,MATCH(C5,'Base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5" s="471" t="s">
        <v>178</v>
      </c>
      <c r="G5" s="472" t="s">
        <v>198</v>
      </c>
      <c r="H5" s="471" t="s">
        <v>199</v>
      </c>
      <c r="I5" s="471" t="s">
        <v>200</v>
      </c>
      <c r="J5" s="473" t="s">
        <v>182</v>
      </c>
      <c r="K5" s="473" t="s">
        <v>183</v>
      </c>
      <c r="L5" s="473">
        <v>72</v>
      </c>
      <c r="M5" s="450" t="str">
        <f t="shared" ref="M5:M14" si="8">IF(L5&lt;=0,"",IF(L5&lt;=2,"Muy Baja",IF(L5&lt;=24,"Baja",IF(L5&lt;=500,"Media",IF(L5&lt;=5000,"Alta","Muy Alta")))))</f>
        <v>Media</v>
      </c>
      <c r="N5" s="451">
        <f t="shared" ref="N5:N8" si="9">IF(M5="","",IF(M5="Muy Baja",0.2,IF(M5="Baja",0.4,IF(M5="Media",0.6,IF(M5="Alta",0.8,IF(M5="Muy Alta",1,))))))</f>
        <v>0.6</v>
      </c>
      <c r="O5" s="452" t="s">
        <v>184</v>
      </c>
      <c r="P5" s="451" t="str">
        <f>IF(NOT(ISERROR(MATCH(O5,'Tabla Impacto'!$B$222:$B$224,0))),'Tabla Impacto'!$F$224&amp;"Por favor no seleccionar los criterios de impacto(Afectación Económica o presupuestal y Pérdida Reputacional)",O5)</f>
        <v>El riesgo afecta la imagen de la entidad con algunos usuarios de relevancia frente al logro de los objetivos</v>
      </c>
      <c r="Q5" s="453" t="s">
        <v>185</v>
      </c>
      <c r="R5" s="452">
        <f t="shared" si="0"/>
        <v>0.4</v>
      </c>
      <c r="S5" s="454" t="str">
        <f t="shared" si="1"/>
        <v>Moderado</v>
      </c>
      <c r="T5" s="455">
        <v>1</v>
      </c>
      <c r="U5" s="456" t="s">
        <v>201</v>
      </c>
      <c r="V5" s="457" t="str">
        <f t="shared" si="2"/>
        <v>Probabilidad</v>
      </c>
      <c r="W5" s="458" t="s">
        <v>187</v>
      </c>
      <c r="X5" s="458" t="s">
        <v>188</v>
      </c>
      <c r="Y5" s="459" t="str">
        <f t="shared" si="3"/>
        <v>40%</v>
      </c>
      <c r="Z5" s="458" t="s">
        <v>189</v>
      </c>
      <c r="AA5" s="458" t="s">
        <v>202</v>
      </c>
      <c r="AB5" s="458" t="s">
        <v>191</v>
      </c>
      <c r="AC5" s="460">
        <f>IFERROR(IF(AND(V4="Probabilidad",V5="Probabilidad"),(AE4-(+AE4*Y5)),IF(V5="Probabilidad",(N4-(+N4*Y5)),IF(V5="Impacto",AE4,""))),"")</f>
        <v>0.216</v>
      </c>
      <c r="AD5" s="461" t="str">
        <f t="shared" si="4"/>
        <v>Baja</v>
      </c>
      <c r="AE5" s="462">
        <f t="shared" si="5"/>
        <v>0.216</v>
      </c>
      <c r="AF5" s="461" t="str">
        <f t="shared" si="6"/>
        <v>Menor</v>
      </c>
      <c r="AG5" s="462">
        <f>IFERROR(IF(AND(V4="Impacto",V5="Impacto"),(AG4-(+AG4*Y5)),IF(V5="Impacto",($R$4-(+$R$4*Y5)),IF(V5="Probabilidad",AG4,""))),"")</f>
        <v>0.4</v>
      </c>
      <c r="AH5" s="463" t="str">
        <f t="shared" si="7"/>
        <v>Moderado</v>
      </c>
      <c r="AI5" s="464" t="s">
        <v>192</v>
      </c>
      <c r="AJ5" s="465"/>
      <c r="AK5" s="465"/>
      <c r="AL5" s="466"/>
      <c r="AM5" s="467"/>
      <c r="AN5" s="468"/>
    </row>
    <row r="6" spans="1:40" ht="151.5" customHeight="1" x14ac:dyDescent="0.2">
      <c r="A6" s="469">
        <v>3</v>
      </c>
      <c r="B6" s="469" t="s">
        <v>203</v>
      </c>
      <c r="C6" s="470" t="s">
        <v>177</v>
      </c>
      <c r="D6" s="447" t="str">
        <f>IFERROR(INDEX('Base de datos gestión'!$D$28:$D$50,MATCH(C6,'Base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6" s="447" t="str">
        <f>IFERROR(INDEX('Base de datos gestión'!$E$28:$E$50,MATCH(C6,'Base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6" s="471" t="s">
        <v>178</v>
      </c>
      <c r="G6" s="472" t="s">
        <v>204</v>
      </c>
      <c r="H6" s="471" t="s">
        <v>205</v>
      </c>
      <c r="I6" s="471" t="s">
        <v>206</v>
      </c>
      <c r="J6" s="473" t="s">
        <v>182</v>
      </c>
      <c r="K6" s="473" t="s">
        <v>183</v>
      </c>
      <c r="L6" s="473">
        <v>12</v>
      </c>
      <c r="M6" s="450" t="str">
        <f t="shared" si="8"/>
        <v>Baja</v>
      </c>
      <c r="N6" s="451">
        <f t="shared" si="9"/>
        <v>0.4</v>
      </c>
      <c r="O6" s="452" t="s">
        <v>207</v>
      </c>
      <c r="P6" s="451" t="str">
        <f>IF(NOT(ISERROR(MATCH(O6,'Tabla Impacto'!$B$222:$B$224,0))),'Tabla Impacto'!$F$224&amp;"Por favor no seleccionar los criterios de impacto(Afectación Económica o presupuestal y Pérdida Reputacional)",O6)</f>
        <v xml:space="preserve">     El riesgo afecta la imagen de la entidad internamente, de conocimiento general, nivel interno, de junta directiva y accionistas y/o de proveedores</v>
      </c>
      <c r="Q6" s="453" t="s">
        <v>185</v>
      </c>
      <c r="R6" s="452">
        <f t="shared" si="0"/>
        <v>0.4</v>
      </c>
      <c r="S6" s="454" t="str">
        <f t="shared" si="1"/>
        <v>Moderado</v>
      </c>
      <c r="T6" s="455">
        <v>1</v>
      </c>
      <c r="U6" s="456" t="s">
        <v>208</v>
      </c>
      <c r="V6" s="457" t="str">
        <f t="shared" si="2"/>
        <v>Impacto</v>
      </c>
      <c r="W6" s="458" t="s">
        <v>209</v>
      </c>
      <c r="X6" s="458" t="s">
        <v>188</v>
      </c>
      <c r="Y6" s="459" t="str">
        <f t="shared" si="3"/>
        <v>25%</v>
      </c>
      <c r="Z6" s="458" t="s">
        <v>189</v>
      </c>
      <c r="AA6" s="458" t="s">
        <v>202</v>
      </c>
      <c r="AB6" s="458" t="s">
        <v>191</v>
      </c>
      <c r="AC6" s="460">
        <f>IFERROR(IF(AND(V5="Probabilidad",V6="Probabilidad"),(AE5-(+AE5*Y6)),IF(AND(V5="Impacto",V6="Probabilidad"),(AE4-(+AE4*Y6)),IF(V6="Impacto",AE5,""))),"")</f>
        <v>0.216</v>
      </c>
      <c r="AD6" s="461" t="str">
        <f t="shared" si="4"/>
        <v>Baja</v>
      </c>
      <c r="AE6" s="462">
        <f t="shared" si="5"/>
        <v>0.216</v>
      </c>
      <c r="AF6" s="461" t="str">
        <f t="shared" si="6"/>
        <v>Menor</v>
      </c>
      <c r="AG6" s="462">
        <f>IFERROR(IF(AND(V5="Impacto",V6="Impacto"),(AG5-(+AG5*Y6)),IF(AND(V5="Probabilidad",V6="Impacto"),(AG4-(+AG4*Y6)),IF(V6="Probabilidad",AG5,""))),"")</f>
        <v>0.30000000000000004</v>
      </c>
      <c r="AH6" s="463" t="str">
        <f t="shared" si="7"/>
        <v>Moderado</v>
      </c>
      <c r="AI6" s="464" t="s">
        <v>192</v>
      </c>
      <c r="AJ6" s="465"/>
      <c r="AK6" s="465"/>
      <c r="AL6" s="466"/>
      <c r="AM6" s="467"/>
      <c r="AN6" s="468"/>
    </row>
    <row r="7" spans="1:40" ht="151.5" customHeight="1" x14ac:dyDescent="0.2">
      <c r="A7" s="469">
        <v>3</v>
      </c>
      <c r="B7" s="469" t="s">
        <v>203</v>
      </c>
      <c r="C7" s="470" t="s">
        <v>177</v>
      </c>
      <c r="D7" s="447" t="str">
        <f>IFERROR(INDEX('Base de datos gestión'!$D$28:$D$50,MATCH(C7,'Base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7" s="447" t="str">
        <f>IFERROR(INDEX('Base de datos gestión'!$E$28:$E$50,MATCH(C7,'Base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7" s="474" t="s">
        <v>178</v>
      </c>
      <c r="G7" s="475" t="s">
        <v>204</v>
      </c>
      <c r="H7" s="474" t="s">
        <v>205</v>
      </c>
      <c r="I7" s="474" t="s">
        <v>206</v>
      </c>
      <c r="J7" s="476" t="s">
        <v>182</v>
      </c>
      <c r="K7" s="476" t="s">
        <v>183</v>
      </c>
      <c r="L7" s="476">
        <v>12</v>
      </c>
      <c r="M7" s="450" t="str">
        <f t="shared" si="8"/>
        <v>Baja</v>
      </c>
      <c r="N7" s="451">
        <f t="shared" si="9"/>
        <v>0.4</v>
      </c>
      <c r="O7" s="452" t="s">
        <v>207</v>
      </c>
      <c r="P7" s="451" t="str">
        <f>IF(NOT(ISERROR(MATCH(O7,'Tabla Impacto'!$B$222:$B$224,0))),'Tabla Impacto'!$F$224&amp;"Por favor no seleccionar los criterios de impacto(Afectación Económica o presupuestal y Pérdida Reputacional)",O7)</f>
        <v xml:space="preserve">     El riesgo afecta la imagen de la entidad internamente, de conocimiento general, nivel interno, de junta directiva y accionistas y/o de proveedores</v>
      </c>
      <c r="Q7" s="453" t="s">
        <v>185</v>
      </c>
      <c r="R7" s="452">
        <f t="shared" si="0"/>
        <v>0.4</v>
      </c>
      <c r="S7" s="454" t="str">
        <f t="shared" si="1"/>
        <v>Moderado</v>
      </c>
      <c r="T7" s="457">
        <v>1</v>
      </c>
      <c r="U7" s="477" t="s">
        <v>208</v>
      </c>
      <c r="V7" s="457" t="str">
        <f t="shared" si="2"/>
        <v>Impacto</v>
      </c>
      <c r="W7" s="458" t="s">
        <v>209</v>
      </c>
      <c r="X7" s="458" t="s">
        <v>188</v>
      </c>
      <c r="Y7" s="459" t="str">
        <f t="shared" si="3"/>
        <v>25%</v>
      </c>
      <c r="Z7" s="458" t="s">
        <v>189</v>
      </c>
      <c r="AA7" s="458" t="s">
        <v>202</v>
      </c>
      <c r="AB7" s="458" t="s">
        <v>191</v>
      </c>
      <c r="AC7" s="460">
        <f>IFERROR(IF(AND(V6="Probabilidad",V7="Probabilidad"),(AE6-(+AE6*Y7)),IF(AND(V6="Impacto",V7="Probabilidad"),(AE5-(+AE5*Y7)),IF(V7="Impacto",AE6,""))),"")</f>
        <v>0.216</v>
      </c>
      <c r="AD7" s="461" t="str">
        <f t="shared" si="4"/>
        <v>Baja</v>
      </c>
      <c r="AE7" s="462">
        <f t="shared" si="5"/>
        <v>0.216</v>
      </c>
      <c r="AF7" s="461" t="str">
        <f t="shared" si="6"/>
        <v>Menor</v>
      </c>
      <c r="AG7" s="462">
        <f>IFERROR(IF(AND(V6="Impacto",V7="Impacto"),(AG6-(+AG6*Y7)),IF(AND(V6="Probabilidad",V7="Impacto"),(AG5-(+AG5*Y7)),IF(V7="Probabilidad",AG6,""))),"")</f>
        <v>0.22500000000000003</v>
      </c>
      <c r="AH7" s="463" t="str">
        <f t="shared" si="7"/>
        <v>Moderado</v>
      </c>
      <c r="AI7" s="464" t="s">
        <v>192</v>
      </c>
      <c r="AJ7" s="465"/>
      <c r="AK7" s="465"/>
      <c r="AL7" s="466"/>
      <c r="AM7" s="467"/>
      <c r="AN7" s="468"/>
    </row>
    <row r="8" spans="1:40" ht="151.5" customHeight="1" x14ac:dyDescent="0.2">
      <c r="A8" s="469">
        <v>4</v>
      </c>
      <c r="B8" s="469" t="s">
        <v>210</v>
      </c>
      <c r="C8" s="470" t="s">
        <v>177</v>
      </c>
      <c r="D8" s="447" t="str">
        <f>IFERROR(INDEX('Base de datos gestión'!$D$28:$D$50,MATCH(C8,'Base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8" s="447" t="str">
        <f>IFERROR(INDEX('Base de datos gestión'!$E$28:$E$50,MATCH(C8,'Base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8" s="474" t="s">
        <v>178</v>
      </c>
      <c r="G8" s="475" t="s">
        <v>211</v>
      </c>
      <c r="H8" s="474" t="s">
        <v>212</v>
      </c>
      <c r="I8" s="474" t="s">
        <v>213</v>
      </c>
      <c r="J8" s="476" t="s">
        <v>182</v>
      </c>
      <c r="K8" s="476" t="s">
        <v>183</v>
      </c>
      <c r="L8" s="476">
        <v>1</v>
      </c>
      <c r="M8" s="450" t="str">
        <f t="shared" si="8"/>
        <v>Muy Baja</v>
      </c>
      <c r="N8" s="451">
        <f t="shared" si="9"/>
        <v>0.2</v>
      </c>
      <c r="O8" s="452" t="s">
        <v>214</v>
      </c>
      <c r="P8" s="451" t="str">
        <f>IF(NOT(ISERROR(MATCH(O8,'Tabla Impacto'!$B$222:$B$224,0))),'Tabla Impacto'!$F$224&amp;"Por favor no seleccionar los criterios de impacto(Afectación Económica o presupuestal y Pérdida Reputacional)",O8)</f>
        <v xml:space="preserve">     El riesgo afecta la imagen de la entidad con algunos usuarios de relevancia frente al logro de los objetivos</v>
      </c>
      <c r="Q8" s="453" t="str">
        <f>IF(OR(P8='[1]Tabla Impacto'!$C$12,P8='[1]Tabla Impacto'!$D$12),"Leve",IF(OR(P8='[1]Tabla Impacto'!$C$13,P8='[1]Tabla Impacto'!$D$13),"Menor",IF(OR(P8='[1]Tabla Impacto'!$C$14,P8='[1]Tabla Impacto'!$D$14),"Moderado",IF(OR(P8='[1]Tabla Impacto'!$C$15,P8='[1]Tabla Impacto'!$D$15),"Mayor",IF(OR(P8='[1]Tabla Impacto'!$C$16,P8='[1]Tabla Impacto'!$D$16),"Catastrófico","")))))</f>
        <v>Moderado</v>
      </c>
      <c r="R8" s="452">
        <f t="shared" si="0"/>
        <v>0.6</v>
      </c>
      <c r="S8" s="454" t="str">
        <f t="shared" si="1"/>
        <v>Moderado</v>
      </c>
      <c r="T8" s="457">
        <v>1</v>
      </c>
      <c r="U8" s="477" t="s">
        <v>215</v>
      </c>
      <c r="V8" s="457" t="str">
        <f t="shared" si="2"/>
        <v>Probabilidad</v>
      </c>
      <c r="W8" s="458" t="s">
        <v>187</v>
      </c>
      <c r="X8" s="458" t="s">
        <v>188</v>
      </c>
      <c r="Y8" s="459" t="str">
        <f t="shared" si="3"/>
        <v>40%</v>
      </c>
      <c r="Z8" s="458" t="s">
        <v>189</v>
      </c>
      <c r="AA8" s="458" t="s">
        <v>202</v>
      </c>
      <c r="AB8" s="458" t="s">
        <v>216</v>
      </c>
      <c r="AC8" s="460">
        <f>IFERROR(IF(AND(V7="Probabilidad",V8="Probabilidad"),(AE7-(+AE7*Y8)),IF(AND(V7="Impacto",V8="Probabilidad"),(AE6-(+AE6*Y8)),IF(V8="Impacto",AE7,""))),"")</f>
        <v>0.12959999999999999</v>
      </c>
      <c r="AD8" s="461" t="str">
        <f t="shared" si="4"/>
        <v>Muy Baja</v>
      </c>
      <c r="AE8" s="462">
        <f t="shared" si="5"/>
        <v>0.12959999999999999</v>
      </c>
      <c r="AF8" s="461" t="str">
        <f t="shared" si="6"/>
        <v>Menor</v>
      </c>
      <c r="AG8" s="462">
        <f>IFERROR(IF(AND(V7="Impacto",V8="Impacto"),(AG7-(+AG7*Y8)),IF(AND(V7="Probabilidad",V8="Impacto"),(AG6-(+AG6*Y8)),IF(V8="Probabilidad",AG7,""))),"")</f>
        <v>0.22500000000000003</v>
      </c>
      <c r="AH8" s="463" t="str">
        <f t="shared" si="7"/>
        <v>Bajo</v>
      </c>
      <c r="AI8" s="464" t="s">
        <v>192</v>
      </c>
      <c r="AJ8" s="465"/>
      <c r="AK8" s="465"/>
      <c r="AL8" s="466"/>
      <c r="AM8" s="467"/>
      <c r="AN8" s="468"/>
    </row>
    <row r="9" spans="1:40" ht="239.25" customHeight="1" x14ac:dyDescent="0.2">
      <c r="A9" s="478">
        <v>5</v>
      </c>
      <c r="B9" s="478" t="s">
        <v>217</v>
      </c>
      <c r="C9" s="479" t="s">
        <v>177</v>
      </c>
      <c r="D9" s="447" t="str">
        <f>IFERROR(INDEX('Base de datos gestión'!$D$28:$D$50,MATCH(C9,'Base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9" s="447" t="str">
        <f>IFERROR(INDEX('Base de datos gestión'!$E$28:$E$50,MATCH(C9,'Base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9" s="474" t="s">
        <v>178</v>
      </c>
      <c r="G9" s="475" t="s">
        <v>218</v>
      </c>
      <c r="H9" s="474" t="s">
        <v>219</v>
      </c>
      <c r="I9" s="474" t="s">
        <v>220</v>
      </c>
      <c r="J9" s="476" t="s">
        <v>182</v>
      </c>
      <c r="K9" s="476" t="s">
        <v>183</v>
      </c>
      <c r="L9" s="476">
        <v>12</v>
      </c>
      <c r="M9" s="450" t="str">
        <f t="shared" si="8"/>
        <v>Baja</v>
      </c>
      <c r="N9" s="451">
        <f>IF(M9="","",IF(M9="Muy Baja",0.2,IF(M9="Baja",0.4,IF(M9="Media",0.6,IF(M9="Alta",0.8,IF(M9="Muy Alta",1,))))))</f>
        <v>0.4</v>
      </c>
      <c r="O9" s="452" t="s">
        <v>214</v>
      </c>
      <c r="P9" s="451" t="str">
        <f>IF(NOT(ISERROR(MATCH(O9,'Tabla Impacto'!$B$222:$B$224,0))),'Tabla Impacto'!$F$224&amp;"Por favor no seleccionar los criterios de impacto(Afectación Económica o presupuestal y Pérdida Reputacional)",O9)</f>
        <v xml:space="preserve">     El riesgo afecta la imagen de la entidad con algunos usuarios de relevancia frente al logro de los objetivos</v>
      </c>
      <c r="Q9" s="453" t="str">
        <f>IF(OR(P9='[1]Tabla Impacto'!$C$12,P9='[1]Tabla Impacto'!$D$12),"Leve",IF(OR(P9='[1]Tabla Impacto'!$C$13,P9='[1]Tabla Impacto'!$D$13),"Menor",IF(OR(P9='[1]Tabla Impacto'!$C$14,P9='[1]Tabla Impacto'!$D$14),"Moderado",IF(OR(P9='[1]Tabla Impacto'!$C$15,P9='[1]Tabla Impacto'!$D$15),"Mayor",IF(OR(P9='[1]Tabla Impacto'!$C$16,P9='[1]Tabla Impacto'!$D$16),"Catastrófico","")))))</f>
        <v>Moderado</v>
      </c>
      <c r="R9" s="452">
        <f t="shared" si="0"/>
        <v>0.6</v>
      </c>
      <c r="S9" s="454" t="str">
        <f t="shared" si="1"/>
        <v>Moderado</v>
      </c>
      <c r="T9" s="457">
        <v>1</v>
      </c>
      <c r="U9" s="506" t="s">
        <v>221</v>
      </c>
      <c r="V9" s="457" t="s">
        <v>2</v>
      </c>
      <c r="W9" s="458" t="s">
        <v>187</v>
      </c>
      <c r="X9" s="458" t="s">
        <v>188</v>
      </c>
      <c r="Y9" s="459" t="str">
        <f t="shared" si="3"/>
        <v>40%</v>
      </c>
      <c r="Z9" s="458" t="s">
        <v>222</v>
      </c>
      <c r="AA9" s="458" t="s">
        <v>190</v>
      </c>
      <c r="AB9" s="458" t="s">
        <v>191</v>
      </c>
      <c r="AC9" s="460">
        <f>IFERROR(IF(V9="Probabilidad",(R9-(+R9*Y9)),IF(V9="Impacto",R9,"")),"")</f>
        <v>0.36</v>
      </c>
      <c r="AD9" s="461" t="str">
        <f t="shared" si="4"/>
        <v>Baja</v>
      </c>
      <c r="AE9" s="462">
        <f t="shared" si="5"/>
        <v>0.36</v>
      </c>
      <c r="AF9" s="461" t="str">
        <f t="shared" si="6"/>
        <v>Moderado</v>
      </c>
      <c r="AG9" s="462">
        <f>IFERROR(IF(U4="Impacto",(R9-(+R9*Y9)),IF(V9="Probabilidad",R9,"")),"")</f>
        <v>0.6</v>
      </c>
      <c r="AH9" s="463" t="str">
        <f t="shared" si="7"/>
        <v>Moderado</v>
      </c>
      <c r="AI9" s="464" t="s">
        <v>192</v>
      </c>
      <c r="AJ9" s="639" t="s">
        <v>223</v>
      </c>
      <c r="AK9" s="642" t="s">
        <v>224</v>
      </c>
      <c r="AL9" s="639" t="s">
        <v>225</v>
      </c>
      <c r="AM9" s="645">
        <v>46022</v>
      </c>
      <c r="AN9" s="648" t="s">
        <v>226</v>
      </c>
    </row>
    <row r="10" spans="1:40" ht="151.5" customHeight="1" x14ac:dyDescent="0.2">
      <c r="A10" s="478">
        <v>5</v>
      </c>
      <c r="B10" s="478" t="s">
        <v>217</v>
      </c>
      <c r="C10" s="479" t="s">
        <v>177</v>
      </c>
      <c r="D10" s="447" t="str">
        <f>IFERROR(INDEX('Base de datos gestión'!$D$28:$D$50,MATCH(C10,'Base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10" s="447" t="str">
        <f>IFERROR(INDEX('Base de datos gestión'!$E$28:$E$50,MATCH(C10,'Base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10" s="474" t="s">
        <v>178</v>
      </c>
      <c r="G10" s="475" t="s">
        <v>218</v>
      </c>
      <c r="H10" s="474" t="s">
        <v>219</v>
      </c>
      <c r="I10" s="474" t="s">
        <v>220</v>
      </c>
      <c r="J10" s="476" t="s">
        <v>182</v>
      </c>
      <c r="K10" s="476" t="s">
        <v>183</v>
      </c>
      <c r="L10" s="476">
        <v>12</v>
      </c>
      <c r="M10" s="450" t="str">
        <f t="shared" si="8"/>
        <v>Baja</v>
      </c>
      <c r="N10" s="451"/>
      <c r="O10" s="452" t="s">
        <v>214</v>
      </c>
      <c r="P10" s="451" t="str">
        <f>IF(NOT(ISERROR(MATCH(O10,'Tabla Impacto'!$B$222:$B$224,0))),'Tabla Impacto'!$F$224&amp;"Por favor no seleccionar los criterios de impacto(Afectación Económica o presupuestal y Pérdida Reputacional)",O10)</f>
        <v xml:space="preserve">     El riesgo afecta la imagen de la entidad con algunos usuarios de relevancia frente al logro de los objetivos</v>
      </c>
      <c r="Q10" s="453" t="str">
        <f>IF(OR(P10='[1]Tabla Impacto'!$C$12,P10='[1]Tabla Impacto'!$D$12),"Leve",IF(OR(P10='[1]Tabla Impacto'!$C$13,P10='[1]Tabla Impacto'!$D$13),"Menor",IF(OR(P10='[1]Tabla Impacto'!$C$14,P10='[1]Tabla Impacto'!$D$14),"Moderado",IF(OR(P10='[1]Tabla Impacto'!$C$15,P10='[1]Tabla Impacto'!$D$15),"Mayor",IF(OR(P10='[1]Tabla Impacto'!$C$16,P10='[1]Tabla Impacto'!$D$16),"Catastrófico","")))))</f>
        <v>Moderado</v>
      </c>
      <c r="R10" s="452">
        <f t="shared" ref="R10:R14" si="10">IF(Q10="","",IF(Q10="Leve",0.2,IF(Q10="Menor",0.4,IF(Q10="Moderado",0.6,IF(Q10="Mayor",0.8,IF(Q10="Catastrófico",1,))))))</f>
        <v>0.6</v>
      </c>
      <c r="S10" s="454" t="str">
        <f t="shared" ref="S10:S14" si="11">IF(OR(AND(M10="Muy Baja",Q10="Leve"),AND(M10="Muy Baja",Q10="Menor"),AND(M10="Baja",Q10="Leve")),"Bajo",IF(OR(AND(M10="Muy baja",Q10="Moderado"),AND(M10="Baja",Q10="Menor"),AND(M10="Baja",Q10="Moderado"),AND(M10="Media",Q10="Leve"),AND(M10="Media",Q10="Menor"),AND(M10="Media",Q10="Moderado"),AND(M10="Alta",Q10="Leve"),AND(M10="Alta",Q10="Menor")),"Moderado",IF(OR(AND(M10="Muy Baja",Q10="Mayor"),AND(M10="Baja",Q10="Mayor"),AND(M10="Media",Q10="Mayor"),AND(M10="Alta",Q10="Moderado"),AND(M10="Alta",Q10="Mayor"),AND(M10="Muy Alta",Q10="Leve"),AND(M10="Muy Alta",Q10="Menor"),AND(M10="Muy Alta",Q10="Moderado"),AND(M10="Muy Alta",Q10="Mayor")),"Alto",IF(OR(AND(M10="Muy Baja",Q10="Catastrófico"),AND(M10="Baja",Q10="Catastrófico"),AND(M10="Media",Q10="Catastrófico"),AND(M10="Alta",Q10="Catastrófico"),AND(M10="Muy Alta",Q10="Catastrófico")),"Extremo",""))))</f>
        <v>Moderado</v>
      </c>
      <c r="T10" s="457">
        <v>2</v>
      </c>
      <c r="U10" s="506" t="s">
        <v>227</v>
      </c>
      <c r="V10" s="457" t="s">
        <v>2</v>
      </c>
      <c r="W10" s="458" t="s">
        <v>228</v>
      </c>
      <c r="X10" s="458" t="s">
        <v>188</v>
      </c>
      <c r="Y10" s="459" t="str">
        <f t="shared" si="3"/>
        <v>30%</v>
      </c>
      <c r="Z10" s="458" t="s">
        <v>222</v>
      </c>
      <c r="AA10" s="458" t="s">
        <v>190</v>
      </c>
      <c r="AB10" s="458" t="s">
        <v>191</v>
      </c>
      <c r="AC10" s="460">
        <f>IFERROR(IF(AND(V9="Probabilidad",V10="Probabilidad"),(AE9-(+AE9*Y10)),IF(AND(V9="Impacto",V10="Probabilidad"),(AE9-(+AE9*Y10)),IF(V10="Impacto",AE9,""))),"")</f>
        <v>0.252</v>
      </c>
      <c r="AD10" s="461" t="str">
        <f t="shared" si="4"/>
        <v>Baja</v>
      </c>
      <c r="AE10" s="462">
        <f t="shared" si="5"/>
        <v>0.252</v>
      </c>
      <c r="AF10" s="461" t="str">
        <f t="shared" si="6"/>
        <v>Moderado</v>
      </c>
      <c r="AG10" s="462">
        <f>IFERROR(IF(AND(V9="Impacto",V10="Impacto"),(AG9-(+AG9*Y10)),IF(AND(V9="Probabilidad",V10="Impacto"),(AG8-(+AG8*Y10)),IF(V10="Probabilidad",AG9,""))),"")</f>
        <v>0.6</v>
      </c>
      <c r="AH10" s="463" t="str">
        <f t="shared" si="7"/>
        <v>Moderado</v>
      </c>
      <c r="AI10" s="464" t="s">
        <v>192</v>
      </c>
      <c r="AJ10" s="640"/>
      <c r="AK10" s="643"/>
      <c r="AL10" s="640"/>
      <c r="AM10" s="646"/>
      <c r="AN10" s="649"/>
    </row>
    <row r="11" spans="1:40" ht="151.5" customHeight="1" x14ac:dyDescent="0.2">
      <c r="A11" s="478">
        <v>5</v>
      </c>
      <c r="B11" s="478" t="s">
        <v>217</v>
      </c>
      <c r="C11" s="479" t="s">
        <v>177</v>
      </c>
      <c r="D11" s="447" t="str">
        <f>IFERROR(INDEX('Base de datos gestión'!$D$28:$D$50,MATCH(C11,'Base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11" s="447" t="str">
        <f>IFERROR(INDEX('Base de datos gestión'!$E$28:$E$50,MATCH(C11,'Base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11" s="474" t="s">
        <v>178</v>
      </c>
      <c r="G11" s="475" t="s">
        <v>218</v>
      </c>
      <c r="H11" s="474" t="s">
        <v>219</v>
      </c>
      <c r="I11" s="474" t="s">
        <v>220</v>
      </c>
      <c r="J11" s="476" t="s">
        <v>182</v>
      </c>
      <c r="K11" s="476" t="s">
        <v>183</v>
      </c>
      <c r="L11" s="476">
        <v>12</v>
      </c>
      <c r="M11" s="450" t="str">
        <f t="shared" si="8"/>
        <v>Baja</v>
      </c>
      <c r="N11" s="451"/>
      <c r="O11" s="452" t="s">
        <v>214</v>
      </c>
      <c r="P11" s="451" t="str">
        <f>IF(NOT(ISERROR(MATCH(O11,'Tabla Impacto'!$B$222:$B$224,0))),'Tabla Impacto'!$F$224&amp;"Por favor no seleccionar los criterios de impacto(Afectación Económica o presupuestal y Pérdida Reputacional)",O11)</f>
        <v xml:space="preserve">     El riesgo afecta la imagen de la entidad con algunos usuarios de relevancia frente al logro de los objetivos</v>
      </c>
      <c r="Q11" s="453" t="str">
        <f>IF(OR(P11='[1]Tabla Impacto'!$C$12,P11='[1]Tabla Impacto'!$D$12),"Leve",IF(OR(P11='[1]Tabla Impacto'!$C$13,P11='[1]Tabla Impacto'!$D$13),"Menor",IF(OR(P11='[1]Tabla Impacto'!$C$14,P11='[1]Tabla Impacto'!$D$14),"Moderado",IF(OR(P11='[1]Tabla Impacto'!$C$15,P11='[1]Tabla Impacto'!$D$15),"Mayor",IF(OR(P11='[1]Tabla Impacto'!$C$16,P11='[1]Tabla Impacto'!$D$16),"Catastrófico","")))))</f>
        <v>Moderado</v>
      </c>
      <c r="R11" s="452">
        <f t="shared" si="10"/>
        <v>0.6</v>
      </c>
      <c r="S11" s="454" t="str">
        <f t="shared" si="11"/>
        <v>Moderado</v>
      </c>
      <c r="T11" s="457">
        <v>3</v>
      </c>
      <c r="U11" s="506" t="s">
        <v>229</v>
      </c>
      <c r="V11" s="457" t="s">
        <v>2</v>
      </c>
      <c r="W11" s="458" t="s">
        <v>228</v>
      </c>
      <c r="X11" s="458" t="s">
        <v>188</v>
      </c>
      <c r="Y11" s="459" t="str">
        <f t="shared" si="3"/>
        <v>30%</v>
      </c>
      <c r="Z11" s="458" t="s">
        <v>222</v>
      </c>
      <c r="AA11" s="458" t="s">
        <v>190</v>
      </c>
      <c r="AB11" s="458" t="s">
        <v>191</v>
      </c>
      <c r="AC11" s="460">
        <f t="shared" ref="AC11:AC14" si="12">IFERROR(IF(AND(V10="Probabilidad",V11="Probabilidad"),(AE10-(+AE10*Y11)),IF(AND(V10="Impacto",V11="Probabilidad"),(AE10-(+AE10*Y11)),IF(V11="Impacto",AE10,""))),"")</f>
        <v>0.1764</v>
      </c>
      <c r="AD11" s="461" t="str">
        <f t="shared" si="4"/>
        <v>Muy Baja</v>
      </c>
      <c r="AE11" s="462">
        <f t="shared" si="5"/>
        <v>0.1764</v>
      </c>
      <c r="AF11" s="461" t="str">
        <f t="shared" si="6"/>
        <v>Moderado</v>
      </c>
      <c r="AG11" s="462">
        <f t="shared" ref="AG11:AG14" si="13">IFERROR(IF(AND(V10="Impacto",V11="Impacto"),(AG10-(+AG10*Y11)),IF(AND(V10="Probabilidad",V11="Impacto"),(AG9-(+AG9*Y11)),IF(V11="Probabilidad",AG10,""))),"")</f>
        <v>0.6</v>
      </c>
      <c r="AH11" s="463" t="str">
        <f t="shared" si="7"/>
        <v>Moderado</v>
      </c>
      <c r="AI11" s="464" t="s">
        <v>192</v>
      </c>
      <c r="AJ11" s="640"/>
      <c r="AK11" s="643"/>
      <c r="AL11" s="640"/>
      <c r="AM11" s="646"/>
      <c r="AN11" s="649"/>
    </row>
    <row r="12" spans="1:40" ht="151.5" customHeight="1" x14ac:dyDescent="0.2">
      <c r="A12" s="478">
        <v>5</v>
      </c>
      <c r="B12" s="478" t="s">
        <v>217</v>
      </c>
      <c r="C12" s="479" t="s">
        <v>177</v>
      </c>
      <c r="D12" s="447" t="str">
        <f>IFERROR(INDEX('Base de datos gestión'!$D$28:$D$50,MATCH(C12,'Base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12" s="447" t="str">
        <f>IFERROR(INDEX('Base de datos gestión'!$E$28:$E$50,MATCH(C12,'Base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12" s="474" t="s">
        <v>178</v>
      </c>
      <c r="G12" s="475" t="s">
        <v>218</v>
      </c>
      <c r="H12" s="474" t="s">
        <v>219</v>
      </c>
      <c r="I12" s="474" t="s">
        <v>220</v>
      </c>
      <c r="J12" s="476" t="s">
        <v>182</v>
      </c>
      <c r="K12" s="476" t="s">
        <v>183</v>
      </c>
      <c r="L12" s="476">
        <v>12</v>
      </c>
      <c r="M12" s="450" t="str">
        <f t="shared" si="8"/>
        <v>Baja</v>
      </c>
      <c r="N12" s="451"/>
      <c r="O12" s="452" t="s">
        <v>214</v>
      </c>
      <c r="P12" s="451" t="str">
        <f>IF(NOT(ISERROR(MATCH(O12,'Tabla Impacto'!$B$222:$B$224,0))),'Tabla Impacto'!$F$224&amp;"Por favor no seleccionar los criterios de impacto(Afectación Económica o presupuestal y Pérdida Reputacional)",O12)</f>
        <v xml:space="preserve">     El riesgo afecta la imagen de la entidad con algunos usuarios de relevancia frente al logro de los objetivos</v>
      </c>
      <c r="Q12" s="453" t="str">
        <f>IF(OR(P12='[1]Tabla Impacto'!$C$12,P12='[1]Tabla Impacto'!$D$12),"Leve",IF(OR(P12='[1]Tabla Impacto'!$C$13,P12='[1]Tabla Impacto'!$D$13),"Menor",IF(OR(P12='[1]Tabla Impacto'!$C$14,P12='[1]Tabla Impacto'!$D$14),"Moderado",IF(OR(P12='[1]Tabla Impacto'!$C$15,P12='[1]Tabla Impacto'!$D$15),"Mayor",IF(OR(P12='[1]Tabla Impacto'!$C$16,P12='[1]Tabla Impacto'!$D$16),"Catastrófico","")))))</f>
        <v>Moderado</v>
      </c>
      <c r="R12" s="452">
        <f t="shared" si="10"/>
        <v>0.6</v>
      </c>
      <c r="S12" s="454" t="str">
        <f t="shared" si="11"/>
        <v>Moderado</v>
      </c>
      <c r="T12" s="457">
        <v>4</v>
      </c>
      <c r="U12" s="506" t="s">
        <v>230</v>
      </c>
      <c r="V12" s="457" t="s">
        <v>2</v>
      </c>
      <c r="W12" s="458" t="s">
        <v>228</v>
      </c>
      <c r="X12" s="458" t="s">
        <v>188</v>
      </c>
      <c r="Y12" s="459" t="str">
        <f t="shared" si="3"/>
        <v>30%</v>
      </c>
      <c r="Z12" s="458" t="s">
        <v>222</v>
      </c>
      <c r="AA12" s="458" t="s">
        <v>190</v>
      </c>
      <c r="AB12" s="458" t="s">
        <v>191</v>
      </c>
      <c r="AC12" s="460">
        <f t="shared" si="12"/>
        <v>0.12348000000000001</v>
      </c>
      <c r="AD12" s="461" t="str">
        <f t="shared" si="4"/>
        <v>Muy Baja</v>
      </c>
      <c r="AE12" s="462">
        <f t="shared" si="5"/>
        <v>0.12348000000000001</v>
      </c>
      <c r="AF12" s="461" t="str">
        <f t="shared" si="6"/>
        <v>Moderado</v>
      </c>
      <c r="AG12" s="462">
        <f t="shared" si="13"/>
        <v>0.6</v>
      </c>
      <c r="AH12" s="463" t="str">
        <f t="shared" si="7"/>
        <v>Moderado</v>
      </c>
      <c r="AI12" s="464" t="s">
        <v>192</v>
      </c>
      <c r="AJ12" s="640"/>
      <c r="AK12" s="643"/>
      <c r="AL12" s="640"/>
      <c r="AM12" s="646"/>
      <c r="AN12" s="649"/>
    </row>
    <row r="13" spans="1:40" ht="151.5" customHeight="1" x14ac:dyDescent="0.2">
      <c r="A13" s="478">
        <v>5</v>
      </c>
      <c r="B13" s="478" t="s">
        <v>217</v>
      </c>
      <c r="C13" s="479" t="s">
        <v>177</v>
      </c>
      <c r="D13" s="447" t="str">
        <f>IFERROR(INDEX('Base de datos gestión'!$D$28:$D$50,MATCH(C13,'Base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13" s="447" t="str">
        <f>IFERROR(INDEX('Base de datos gestión'!$E$28:$E$50,MATCH(C13,'Base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13" s="474" t="s">
        <v>178</v>
      </c>
      <c r="G13" s="475" t="s">
        <v>218</v>
      </c>
      <c r="H13" s="474" t="s">
        <v>219</v>
      </c>
      <c r="I13" s="474" t="s">
        <v>220</v>
      </c>
      <c r="J13" s="476" t="s">
        <v>182</v>
      </c>
      <c r="K13" s="476" t="s">
        <v>183</v>
      </c>
      <c r="L13" s="476">
        <v>12</v>
      </c>
      <c r="M13" s="450" t="str">
        <f t="shared" si="8"/>
        <v>Baja</v>
      </c>
      <c r="N13" s="451"/>
      <c r="O13" s="452" t="s">
        <v>214</v>
      </c>
      <c r="P13" s="451" t="str">
        <f>IF(NOT(ISERROR(MATCH(O13,'Tabla Impacto'!$B$222:$B$224,0))),'Tabla Impacto'!$F$224&amp;"Por favor no seleccionar los criterios de impacto(Afectación Económica o presupuestal y Pérdida Reputacional)",O13)</f>
        <v xml:space="preserve">     El riesgo afecta la imagen de la entidad con algunos usuarios de relevancia frente al logro de los objetivos</v>
      </c>
      <c r="Q13" s="453" t="str">
        <f>IF(OR(P13='[1]Tabla Impacto'!$C$12,P13='[1]Tabla Impacto'!$D$12),"Leve",IF(OR(P13='[1]Tabla Impacto'!$C$13,P13='[1]Tabla Impacto'!$D$13),"Menor",IF(OR(P13='[1]Tabla Impacto'!$C$14,P13='[1]Tabla Impacto'!$D$14),"Moderado",IF(OR(P13='[1]Tabla Impacto'!$C$15,P13='[1]Tabla Impacto'!$D$15),"Mayor",IF(OR(P13='[1]Tabla Impacto'!$C$16,P13='[1]Tabla Impacto'!$D$16),"Catastrófico","")))))</f>
        <v>Moderado</v>
      </c>
      <c r="R13" s="452">
        <f t="shared" si="10"/>
        <v>0.6</v>
      </c>
      <c r="S13" s="454" t="str">
        <f t="shared" si="11"/>
        <v>Moderado</v>
      </c>
      <c r="T13" s="457">
        <v>5</v>
      </c>
      <c r="U13" s="506" t="s">
        <v>231</v>
      </c>
      <c r="V13" s="457" t="s">
        <v>2</v>
      </c>
      <c r="W13" s="458" t="s">
        <v>228</v>
      </c>
      <c r="X13" s="458" t="s">
        <v>188</v>
      </c>
      <c r="Y13" s="459" t="str">
        <f t="shared" si="3"/>
        <v>30%</v>
      </c>
      <c r="Z13" s="458" t="s">
        <v>222</v>
      </c>
      <c r="AA13" s="458" t="s">
        <v>190</v>
      </c>
      <c r="AB13" s="458" t="s">
        <v>191</v>
      </c>
      <c r="AC13" s="460">
        <f t="shared" si="12"/>
        <v>8.6436000000000013E-2</v>
      </c>
      <c r="AD13" s="461" t="str">
        <f t="shared" si="4"/>
        <v>Muy Baja</v>
      </c>
      <c r="AE13" s="462">
        <f t="shared" si="5"/>
        <v>8.6436000000000013E-2</v>
      </c>
      <c r="AF13" s="461" t="str">
        <f t="shared" si="6"/>
        <v>Moderado</v>
      </c>
      <c r="AG13" s="462">
        <f>IFERROR(IF(AND(V12="Impacto",V13="Impacto"),(AG12-(+AG12*Y13)),IF(AND(V12="Probabilidad",V13="Impacto"),(AG11-(+AG11*Y13)),IF(V13="Probabilidad",AG12,""))),"")</f>
        <v>0.6</v>
      </c>
      <c r="AH13" s="463" t="str">
        <f t="shared" si="7"/>
        <v>Moderado</v>
      </c>
      <c r="AI13" s="464" t="s">
        <v>192</v>
      </c>
      <c r="AJ13" s="640"/>
      <c r="AK13" s="643"/>
      <c r="AL13" s="640"/>
      <c r="AM13" s="646"/>
      <c r="AN13" s="649"/>
    </row>
    <row r="14" spans="1:40" ht="151.5" customHeight="1" x14ac:dyDescent="0.2">
      <c r="A14" s="478">
        <v>5</v>
      </c>
      <c r="B14" s="478" t="s">
        <v>217</v>
      </c>
      <c r="C14" s="479" t="s">
        <v>177</v>
      </c>
      <c r="D14" s="447" t="str">
        <f>IFERROR(INDEX('Base de datos gestión'!$D$28:$D$50,MATCH(C14,'Base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14" s="447" t="str">
        <f>IFERROR(INDEX('Base de datos gestión'!$E$28:$E$50,MATCH(C14,'Base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14" s="474" t="s">
        <v>178</v>
      </c>
      <c r="G14" s="475" t="s">
        <v>218</v>
      </c>
      <c r="H14" s="474" t="s">
        <v>219</v>
      </c>
      <c r="I14" s="474" t="s">
        <v>220</v>
      </c>
      <c r="J14" s="476" t="s">
        <v>182</v>
      </c>
      <c r="K14" s="476" t="s">
        <v>183</v>
      </c>
      <c r="L14" s="476">
        <v>12</v>
      </c>
      <c r="M14" s="450" t="str">
        <f t="shared" si="8"/>
        <v>Baja</v>
      </c>
      <c r="N14" s="451"/>
      <c r="O14" s="452" t="s">
        <v>214</v>
      </c>
      <c r="P14" s="451" t="str">
        <f>IF(NOT(ISERROR(MATCH(O14,'Tabla Impacto'!$B$222:$B$224,0))),'Tabla Impacto'!$F$224&amp;"Por favor no seleccionar los criterios de impacto(Afectación Económica o presupuestal y Pérdida Reputacional)",O14)</f>
        <v xml:space="preserve">     El riesgo afecta la imagen de la entidad con algunos usuarios de relevancia frente al logro de los objetivos</v>
      </c>
      <c r="Q14" s="453" t="str">
        <f>IF(OR(P14='[1]Tabla Impacto'!$C$12,P14='[1]Tabla Impacto'!$D$12),"Leve",IF(OR(P14='[1]Tabla Impacto'!$C$13,P14='[1]Tabla Impacto'!$D$13),"Menor",IF(OR(P14='[1]Tabla Impacto'!$C$14,P14='[1]Tabla Impacto'!$D$14),"Moderado",IF(OR(P14='[1]Tabla Impacto'!$C$15,P14='[1]Tabla Impacto'!$D$15),"Mayor",IF(OR(P14='[1]Tabla Impacto'!$C$16,P14='[1]Tabla Impacto'!$D$16),"Catastrófico","")))))</f>
        <v>Moderado</v>
      </c>
      <c r="R14" s="452">
        <f t="shared" si="10"/>
        <v>0.6</v>
      </c>
      <c r="S14" s="454" t="str">
        <f t="shared" si="11"/>
        <v>Moderado</v>
      </c>
      <c r="T14" s="457">
        <v>6</v>
      </c>
      <c r="U14" s="506" t="s">
        <v>232</v>
      </c>
      <c r="V14" s="457" t="s">
        <v>2</v>
      </c>
      <c r="W14" s="458" t="s">
        <v>228</v>
      </c>
      <c r="X14" s="458" t="s">
        <v>188</v>
      </c>
      <c r="Y14" s="459" t="str">
        <f t="shared" si="3"/>
        <v>30%</v>
      </c>
      <c r="Z14" s="458" t="s">
        <v>222</v>
      </c>
      <c r="AA14" s="458" t="s">
        <v>190</v>
      </c>
      <c r="AB14" s="458" t="s">
        <v>191</v>
      </c>
      <c r="AC14" s="460">
        <f t="shared" si="12"/>
        <v>6.0505200000000009E-2</v>
      </c>
      <c r="AD14" s="461" t="str">
        <f t="shared" si="4"/>
        <v>Muy Baja</v>
      </c>
      <c r="AE14" s="462">
        <f t="shared" si="5"/>
        <v>6.0505200000000009E-2</v>
      </c>
      <c r="AF14" s="461" t="str">
        <f t="shared" si="6"/>
        <v>Moderado</v>
      </c>
      <c r="AG14" s="462">
        <f t="shared" si="13"/>
        <v>0.6</v>
      </c>
      <c r="AH14" s="463" t="str">
        <f t="shared" si="7"/>
        <v>Moderado</v>
      </c>
      <c r="AI14" s="464" t="s">
        <v>192</v>
      </c>
      <c r="AJ14" s="641"/>
      <c r="AK14" s="644"/>
      <c r="AL14" s="641"/>
      <c r="AM14" s="647"/>
      <c r="AN14" s="650"/>
    </row>
    <row r="15" spans="1:40" ht="151.5" customHeight="1" x14ac:dyDescent="0.2">
      <c r="A15" s="446">
        <v>6</v>
      </c>
      <c r="B15" s="446" t="s">
        <v>233</v>
      </c>
      <c r="C15" s="447" t="s">
        <v>177</v>
      </c>
      <c r="D15" s="484" t="str">
        <f>IFERROR(INDEX('Base de datos gestión'!$D$28:$D$50,MATCH(C15,'Base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15" s="447" t="str">
        <f>IFERROR(INDEX('Base de datos gestión'!$E$28:$E$50,MATCH(C15,'Base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15" s="474" t="s">
        <v>234</v>
      </c>
      <c r="G15" s="475" t="s">
        <v>235</v>
      </c>
      <c r="H15" s="474" t="s">
        <v>236</v>
      </c>
      <c r="I15" s="474" t="s">
        <v>237</v>
      </c>
      <c r="J15" s="476" t="s">
        <v>238</v>
      </c>
      <c r="K15" s="476" t="s">
        <v>183</v>
      </c>
      <c r="L15" s="476">
        <v>50</v>
      </c>
      <c r="M15" s="450" t="str">
        <f>IF(L15&lt;=0,"",IF(L15&lt;=2,"Muy Baja",IF(L15&lt;=24,"Baja",IF(L15&lt;=500,"Media",IF(L15&lt;=5000,"Alta","Muy Alta")))))</f>
        <v>Media</v>
      </c>
      <c r="N15" s="451">
        <f>IF(M15="","",IF(M15="Muy Baja",0.2,IF(M15="Baja",0.4,IF(M15="Media",0.6,IF(M15="Alta",0.8,IF(M15="Muy Alta",1,))))))</f>
        <v>0.6</v>
      </c>
      <c r="O15" s="452" t="s">
        <v>239</v>
      </c>
      <c r="P15" s="451" t="str">
        <f>IF(NOT(ISERROR(MATCH(O15,'Tabla Impacto'!$B$222:$B$224,0))),'Tabla Impacto'!$F$224&amp;"Por favor no seleccionar los criterios de impacto(Afectación Económica o presupuestal y Pérdida Reputacional)",O15)</f>
        <v xml:space="preserve">     El riesgo afecta la imagen de de la entidad con efecto publicitario sostenido a nivel de sector administrativo, nivel departamental o municipal</v>
      </c>
      <c r="Q15" s="453" t="str">
        <f>IF(OR(P15='[1]Tabla Impacto'!$C$12,P15='[1]Tabla Impacto'!$D$12),"Leve",IF(OR(P15='[1]Tabla Impacto'!$C$13,P15='[1]Tabla Impacto'!$D$13),"Menor",IF(OR(P15='[1]Tabla Impacto'!$C$14,P15='[1]Tabla Impacto'!$D$14),"Moderado",IF(OR(P15='[1]Tabla Impacto'!$C$15,P15='[1]Tabla Impacto'!$D$15),"Mayor",IF(OR(P15='[1]Tabla Impacto'!$C$16,P15='[1]Tabla Impacto'!$D$16),"Catastrófico","")))))</f>
        <v>Mayor</v>
      </c>
      <c r="R15" s="452">
        <f t="shared" si="0"/>
        <v>0.8</v>
      </c>
      <c r="S15" s="454" t="str">
        <f t="shared" si="1"/>
        <v>Alto</v>
      </c>
      <c r="T15" s="457">
        <v>1</v>
      </c>
      <c r="U15" s="477" t="s">
        <v>240</v>
      </c>
      <c r="V15" s="457" t="str">
        <f t="shared" si="2"/>
        <v>Probabilidad</v>
      </c>
      <c r="W15" s="458" t="s">
        <v>187</v>
      </c>
      <c r="X15" s="458" t="s">
        <v>188</v>
      </c>
      <c r="Y15" s="459" t="str">
        <f t="shared" si="3"/>
        <v>40%</v>
      </c>
      <c r="Z15" s="458" t="s">
        <v>222</v>
      </c>
      <c r="AA15" s="458" t="s">
        <v>190</v>
      </c>
      <c r="AB15" s="458" t="s">
        <v>191</v>
      </c>
      <c r="AC15" s="460">
        <f>IFERROR(IF(V15="Probabilidad",(N15-(+N15*Y15)),IF(V15="Impacto",N15,"")),"")</f>
        <v>0.36</v>
      </c>
      <c r="AD15" s="461" t="str">
        <f t="shared" si="4"/>
        <v>Baja</v>
      </c>
      <c r="AE15" s="462">
        <f t="shared" si="5"/>
        <v>0.36</v>
      </c>
      <c r="AF15" s="461" t="str">
        <f t="shared" si="6"/>
        <v>Mayor</v>
      </c>
      <c r="AG15" s="462">
        <f>IFERROR(IF(V15="Impacto",(R15-(+R15*Y15)),IF(V15="Probabilidad",R15,"")),"")</f>
        <v>0.8</v>
      </c>
      <c r="AH15" s="463" t="str">
        <f t="shared" si="7"/>
        <v>Alto</v>
      </c>
      <c r="AI15" s="464" t="s">
        <v>192</v>
      </c>
      <c r="AJ15" s="465"/>
      <c r="AK15" s="465"/>
      <c r="AL15" s="466"/>
      <c r="AM15" s="467"/>
      <c r="AN15" s="468"/>
    </row>
    <row r="16" spans="1:40" ht="151.5" customHeight="1" x14ac:dyDescent="0.2">
      <c r="A16" s="469">
        <v>6</v>
      </c>
      <c r="B16" s="469" t="s">
        <v>233</v>
      </c>
      <c r="C16" s="470" t="s">
        <v>177</v>
      </c>
      <c r="D16" s="447" t="str">
        <f>IFERROR(INDEX('Base de datos gestión'!$D$28:$D$50,MATCH(C16,'Base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16" s="447" t="str">
        <f>IFERROR(INDEX('Base de datos gestión'!$E$28:$E$50,MATCH(C16,'Base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16" s="474" t="s">
        <v>234</v>
      </c>
      <c r="G16" s="475" t="s">
        <v>235</v>
      </c>
      <c r="H16" s="474" t="s">
        <v>236</v>
      </c>
      <c r="I16" s="474" t="s">
        <v>237</v>
      </c>
      <c r="J16" s="476" t="s">
        <v>238</v>
      </c>
      <c r="K16" s="476" t="s">
        <v>183</v>
      </c>
      <c r="L16" s="476">
        <v>50</v>
      </c>
      <c r="M16" s="450" t="str">
        <f t="shared" ref="M16:M24" si="14">IF(L16&lt;=0,"",IF(L16&lt;=2,"Muy Baja",IF(L16&lt;=24,"Baja",IF(L16&lt;=500,"Media",IF(L16&lt;=5000,"Alta","Muy Alta")))))</f>
        <v>Media</v>
      </c>
      <c r="N16" s="451">
        <f t="shared" ref="N16:N84" si="15">IF(M16="","",IF(M16="Muy Baja",0.2,IF(M16="Baja",0.4,IF(M16="Media",0.6,IF(M16="Alta",0.8,IF(M16="Muy Alta",1,))))))</f>
        <v>0.6</v>
      </c>
      <c r="O16" s="452" t="s">
        <v>239</v>
      </c>
      <c r="P16" s="451" t="str">
        <f>IF(NOT(ISERROR(MATCH(O16,'Tabla Impacto'!$B$222:$B$224,0))),'Tabla Impacto'!$F$224&amp;"Por favor no seleccionar los criterios de impacto(Afectación Económica o presupuestal y Pérdida Reputacional)",O16)</f>
        <v xml:space="preserve">     El riesgo afecta la imagen de de la entidad con efecto publicitario sostenido a nivel de sector administrativo, nivel departamental o municipal</v>
      </c>
      <c r="Q16" s="453" t="str">
        <f>IF(OR(P16='[1]Tabla Impacto'!$C$12,P16='[1]Tabla Impacto'!$D$12),"Leve",IF(OR(P16='[1]Tabla Impacto'!$C$13,P16='[1]Tabla Impacto'!$D$13),"Menor",IF(OR(P16='[1]Tabla Impacto'!$C$14,P16='[1]Tabla Impacto'!$D$14),"Moderado",IF(OR(P16='[1]Tabla Impacto'!$C$15,P16='[1]Tabla Impacto'!$D$15),"Mayor",IF(OR(P16='[1]Tabla Impacto'!$C$16,P16='[1]Tabla Impacto'!$D$16),"Catastrófico","")))))</f>
        <v>Mayor</v>
      </c>
      <c r="R16" s="452">
        <f t="shared" si="0"/>
        <v>0.8</v>
      </c>
      <c r="S16" s="454" t="str">
        <f t="shared" si="1"/>
        <v>Alto</v>
      </c>
      <c r="T16" s="453">
        <v>2</v>
      </c>
      <c r="U16" s="477" t="s">
        <v>241</v>
      </c>
      <c r="V16" s="457" t="str">
        <f t="shared" si="2"/>
        <v>Impacto</v>
      </c>
      <c r="W16" s="458" t="s">
        <v>209</v>
      </c>
      <c r="X16" s="458" t="s">
        <v>188</v>
      </c>
      <c r="Y16" s="459" t="str">
        <f t="shared" si="3"/>
        <v>25%</v>
      </c>
      <c r="Z16" s="458" t="s">
        <v>189</v>
      </c>
      <c r="AA16" s="458" t="s">
        <v>190</v>
      </c>
      <c r="AB16" s="458" t="s">
        <v>191</v>
      </c>
      <c r="AC16" s="460">
        <f>IFERROR(IF(AND(V15="Probabilidad",V16="Probabilidad"),(AE15-(+AE15*Y16)),IF(V16="Probabilidad",(N15-(+N15*Y16)),IF(V16="Impacto",AE15,""))),"")</f>
        <v>0.36</v>
      </c>
      <c r="AD16" s="461" t="str">
        <f t="shared" si="4"/>
        <v>Baja</v>
      </c>
      <c r="AE16" s="462">
        <f t="shared" si="5"/>
        <v>0.36</v>
      </c>
      <c r="AF16" s="461" t="str">
        <f t="shared" si="6"/>
        <v>Moderado</v>
      </c>
      <c r="AG16" s="462">
        <f>IFERROR(IF(AND(V15="Impacto",V16="Impacto"),(AG4-(+AG4*Y16)),IF(V16="Impacto",($R$15-(+$R$15*Y16)),IF(V16="Probabilidad",AG4,""))),"")</f>
        <v>0.60000000000000009</v>
      </c>
      <c r="AH16" s="463" t="str">
        <f t="shared" si="7"/>
        <v>Moderado</v>
      </c>
      <c r="AI16" s="464" t="s">
        <v>192</v>
      </c>
      <c r="AJ16" s="465"/>
      <c r="AK16" s="465"/>
      <c r="AL16" s="466"/>
      <c r="AM16" s="467"/>
      <c r="AN16" s="468"/>
    </row>
    <row r="17" spans="1:40" ht="151.5" customHeight="1" x14ac:dyDescent="0.2">
      <c r="A17" s="469">
        <v>6</v>
      </c>
      <c r="B17" s="469" t="s">
        <v>233</v>
      </c>
      <c r="C17" s="470" t="s">
        <v>177</v>
      </c>
      <c r="D17" s="447" t="str">
        <f>IFERROR(INDEX('Base de datos gestión'!$D$28:$D$50,MATCH(C17,'Base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17" s="447" t="str">
        <f>IFERROR(INDEX('Base de datos gestión'!$E$28:$E$50,MATCH(C17,'Base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17" s="474" t="s">
        <v>234</v>
      </c>
      <c r="G17" s="475" t="s">
        <v>235</v>
      </c>
      <c r="H17" s="474" t="s">
        <v>236</v>
      </c>
      <c r="I17" s="474" t="s">
        <v>237</v>
      </c>
      <c r="J17" s="476" t="s">
        <v>238</v>
      </c>
      <c r="K17" s="476" t="s">
        <v>183</v>
      </c>
      <c r="L17" s="476">
        <v>50</v>
      </c>
      <c r="M17" s="450" t="str">
        <f t="shared" si="14"/>
        <v>Media</v>
      </c>
      <c r="N17" s="451">
        <f t="shared" si="15"/>
        <v>0.6</v>
      </c>
      <c r="O17" s="452" t="s">
        <v>239</v>
      </c>
      <c r="P17" s="451" t="str">
        <f>IF(NOT(ISERROR(MATCH(O17,'Tabla Impacto'!$B$222:$B$224,0))),'Tabla Impacto'!$F$224&amp;"Por favor no seleccionar los criterios de impacto(Afectación Económica o presupuestal y Pérdida Reputacional)",O17)</f>
        <v xml:space="preserve">     El riesgo afecta la imagen de de la entidad con efecto publicitario sostenido a nivel de sector administrativo, nivel departamental o municipal</v>
      </c>
      <c r="Q17" s="453" t="str">
        <f>IF(OR(P17='[1]Tabla Impacto'!$C$12,P17='[1]Tabla Impacto'!$D$12),"Leve",IF(OR(P17='[1]Tabla Impacto'!$C$13,P17='[1]Tabla Impacto'!$D$13),"Menor",IF(OR(P17='[1]Tabla Impacto'!$C$14,P17='[1]Tabla Impacto'!$D$14),"Moderado",IF(OR(P17='[1]Tabla Impacto'!$C$15,P17='[1]Tabla Impacto'!$D$15),"Mayor",IF(OR(P17='[1]Tabla Impacto'!$C$16,P17='[1]Tabla Impacto'!$D$16),"Catastrófico","")))))</f>
        <v>Mayor</v>
      </c>
      <c r="R17" s="452">
        <f t="shared" si="0"/>
        <v>0.8</v>
      </c>
      <c r="S17" s="454" t="str">
        <f t="shared" si="1"/>
        <v>Alto</v>
      </c>
      <c r="T17" s="453">
        <v>3</v>
      </c>
      <c r="U17" s="477" t="s">
        <v>242</v>
      </c>
      <c r="V17" s="457" t="str">
        <f t="shared" si="2"/>
        <v>Probabilidad</v>
      </c>
      <c r="W17" s="458" t="s">
        <v>187</v>
      </c>
      <c r="X17" s="458" t="s">
        <v>188</v>
      </c>
      <c r="Y17" s="459" t="str">
        <f t="shared" si="3"/>
        <v>40%</v>
      </c>
      <c r="Z17" s="458" t="s">
        <v>222</v>
      </c>
      <c r="AA17" s="458" t="s">
        <v>190</v>
      </c>
      <c r="AB17" s="458" t="s">
        <v>191</v>
      </c>
      <c r="AC17" s="460">
        <f>IFERROR(IF(AND(V16="Probabilidad",V17="Probabilidad"),(AE16-(+AE16*Y17)),IF(AND(V16="Impacto",V17="Probabilidad"),(AE15-(+AE15*Y17)),IF(V17="Impacto",AE16,""))),"")</f>
        <v>0.216</v>
      </c>
      <c r="AD17" s="461" t="str">
        <f>IFERROR(IF(AC17="","",IF(AC17&lt;=0.2,"Muy Baja",IF(AC17&lt;=0.4,"Baja",IF(AC17&lt;=0.6,"Media",IF(AC17&lt;=0.8,"Alta","Muy Alta"))))),"")</f>
        <v>Baja</v>
      </c>
      <c r="AE17" s="462">
        <f>+AC17</f>
        <v>0.216</v>
      </c>
      <c r="AF17" s="461" t="str">
        <f t="shared" si="6"/>
        <v>Moderado</v>
      </c>
      <c r="AG17" s="462">
        <f>IFERROR(IF(AND(V16="Impacto",V17="Impacto"),(AG16-(+AG16*Y17)),IF(AND(V16="Probabilidad",V17="Impacto"),(AG15-(+AG15*Y17)),IF(V17="Probabilidad",AG16,""))),"")</f>
        <v>0.60000000000000009</v>
      </c>
      <c r="AH17" s="463" t="str">
        <f t="shared" si="7"/>
        <v>Moderado</v>
      </c>
      <c r="AI17" s="464" t="s">
        <v>192</v>
      </c>
      <c r="AJ17" s="465"/>
      <c r="AK17" s="465"/>
      <c r="AL17" s="466"/>
      <c r="AM17" s="467"/>
      <c r="AN17" s="468"/>
    </row>
    <row r="18" spans="1:40" ht="245.25" customHeight="1" x14ac:dyDescent="0.2">
      <c r="A18" s="469">
        <v>7</v>
      </c>
      <c r="B18" s="469" t="s">
        <v>243</v>
      </c>
      <c r="C18" s="470" t="s">
        <v>177</v>
      </c>
      <c r="D18" s="447" t="str">
        <f>IFERROR(INDEX('Base de datos gestión'!$D$28:$D$50,MATCH(C18,'Base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18" s="447" t="str">
        <f>IFERROR(INDEX('Base de datos gestión'!$E$28:$E$50,MATCH(C18,'Base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18" s="474" t="s">
        <v>234</v>
      </c>
      <c r="G18" s="485" t="s">
        <v>244</v>
      </c>
      <c r="H18" s="486" t="s">
        <v>245</v>
      </c>
      <c r="I18" s="486" t="s">
        <v>246</v>
      </c>
      <c r="J18" s="476" t="s">
        <v>238</v>
      </c>
      <c r="K18" s="476" t="s">
        <v>183</v>
      </c>
      <c r="L18" s="476">
        <v>1</v>
      </c>
      <c r="M18" s="450" t="str">
        <f t="shared" si="14"/>
        <v>Muy Baja</v>
      </c>
      <c r="N18" s="451">
        <f t="shared" si="15"/>
        <v>0.2</v>
      </c>
      <c r="O18" s="452" t="s">
        <v>214</v>
      </c>
      <c r="P18" s="451" t="str">
        <f>IF(NOT(ISERROR(MATCH(O18,'Tabla Impacto'!$B$222:$B$224,0))),'Tabla Impacto'!$F$224&amp;"Por favor no seleccionar los criterios de impacto(Afectación Económica o presupuestal y Pérdida Reputacional)",O18)</f>
        <v xml:space="preserve">     El riesgo afecta la imagen de la entidad con algunos usuarios de relevancia frente al logro de los objetivos</v>
      </c>
      <c r="Q18" s="453" t="str">
        <f>IF(OR(P18='[1]Tabla Impacto'!$C$12,P18='[1]Tabla Impacto'!$D$12),"Leve",IF(OR(P18='[1]Tabla Impacto'!$C$13,P18='[1]Tabla Impacto'!$D$13),"Menor",IF(OR(P18='[1]Tabla Impacto'!$C$14,P18='[1]Tabla Impacto'!$D$14),"Moderado",IF(OR(P18='[1]Tabla Impacto'!$C$15,P18='[1]Tabla Impacto'!$D$15),"Mayor",IF(OR(P18='[1]Tabla Impacto'!$C$16,P18='[1]Tabla Impacto'!$D$16),"Catastrófico","")))))</f>
        <v>Moderado</v>
      </c>
      <c r="R18" s="452">
        <f t="shared" si="0"/>
        <v>0.6</v>
      </c>
      <c r="S18" s="454" t="str">
        <f t="shared" si="1"/>
        <v>Moderado</v>
      </c>
      <c r="T18" s="453">
        <v>1</v>
      </c>
      <c r="U18" s="487" t="s">
        <v>247</v>
      </c>
      <c r="V18" s="457" t="str">
        <f t="shared" si="2"/>
        <v>Probabilidad</v>
      </c>
      <c r="W18" s="458" t="s">
        <v>187</v>
      </c>
      <c r="X18" s="458" t="s">
        <v>188</v>
      </c>
      <c r="Y18" s="459" t="str">
        <f t="shared" si="3"/>
        <v>40%</v>
      </c>
      <c r="Z18" s="458" t="s">
        <v>222</v>
      </c>
      <c r="AA18" s="458" t="s">
        <v>190</v>
      </c>
      <c r="AB18" s="458" t="s">
        <v>191</v>
      </c>
      <c r="AC18" s="460">
        <f>IFERROR(IF(V18="Probabilidad",(R18-(+R18*Y18)),IF(V18="Impacto",R18,"")),"")</f>
        <v>0.36</v>
      </c>
      <c r="AD18" s="461" t="str">
        <f>IFERROR(IF(AC18="","",IF(AC18&lt;=0.2,"Muy Baja",IF(AC18&lt;=0.4,"Baja",IF(AC18&lt;=0.6,"Media",IF(AC18&lt;=0.8,"Alta","Muy Alta"))))),"")</f>
        <v>Baja</v>
      </c>
      <c r="AE18" s="462">
        <f>+AC18</f>
        <v>0.36</v>
      </c>
      <c r="AF18" s="461" t="str">
        <f t="shared" ref="AF18:AF21" si="16">IFERROR(IF(AG18="","",IF(AG18&lt;=0.2,"Leve",IF(AG18&lt;=0.4,"Menor",IF(AG18&lt;=0.6,"Moderado",IF(AG18&lt;=0.8,"Mayor","Catastrófico"))))),"")</f>
        <v>Moderado</v>
      </c>
      <c r="AG18" s="462">
        <f>IFERROR(IF(U13="Impacto",(R18-(+R18*Y18)),IF(V18="Probabilidad",R18,"")),"")</f>
        <v>0.6</v>
      </c>
      <c r="AH18" s="463" t="str">
        <f t="shared" ref="AH18:AH21" si="17">IFERROR(IF(OR(AND(AD18="Muy Baja",AF18="Leve"),AND(AD18="Muy Baja",AF18="Menor"),AND(AD18="Baja",AF18="Leve")),"Bajo",IF(OR(AND(AD18="Muy baja",AF18="Moderado"),AND(AD18="Baja",AF18="Menor"),AND(AD18="Baja",AF18="Moderado"),AND(AD18="Media",AF18="Leve"),AND(AD18="Media",AF18="Menor"),AND(AD18="Media",AF18="Moderado"),AND(AD18="Alta",AF18="Leve"),AND(AD18="Alta",AF18="Menor")),"Moderado",IF(OR(AND(AD18="Muy Baja",AF18="Mayor"),AND(AD18="Baja",AF18="Mayor"),AND(AD18="Media",AF18="Mayor"),AND(AD18="Alta",AF18="Moderado"),AND(AD18="Alta",AF18="Mayor"),AND(AD18="Muy Alta",AF18="Leve"),AND(AD18="Muy Alta",AF18="Menor"),AND(AD18="Muy Alta",AF18="Moderado"),AND(AD18="Muy Alta",AF18="Mayor")),"Alto",IF(OR(AND(AD18="Muy Baja",AF18="Catastrófico"),AND(AD18="Baja",AF18="Catastrófico"),AND(AD18="Media",AF18="Catastrófico"),AND(AD18="Alta",AF18="Catastrófico"),AND(AD18="Muy Alta",AF18="Catastrófico")),"Extremo","")))),"")</f>
        <v>Moderado</v>
      </c>
      <c r="AI18" s="464" t="s">
        <v>192</v>
      </c>
      <c r="AJ18" s="639" t="s">
        <v>248</v>
      </c>
      <c r="AK18" s="639" t="s">
        <v>248</v>
      </c>
      <c r="AL18" s="639" t="s">
        <v>248</v>
      </c>
      <c r="AM18" s="639" t="s">
        <v>248</v>
      </c>
      <c r="AN18" s="637" t="s">
        <v>249</v>
      </c>
    </row>
    <row r="19" spans="1:40" ht="234" customHeight="1" x14ac:dyDescent="0.2">
      <c r="A19" s="469">
        <v>7</v>
      </c>
      <c r="B19" s="469" t="s">
        <v>243</v>
      </c>
      <c r="C19" s="470" t="s">
        <v>177</v>
      </c>
      <c r="D19" s="447" t="str">
        <f>IFERROR(INDEX('Base de datos gestión'!$D$28:$D$50,MATCH(C19,'Base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19" s="447" t="str">
        <f>IFERROR(INDEX('Base de datos gestión'!$E$28:$E$50,MATCH(C19,'Base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19" s="474" t="s">
        <v>234</v>
      </c>
      <c r="G19" s="485" t="s">
        <v>244</v>
      </c>
      <c r="H19" s="486" t="s">
        <v>245</v>
      </c>
      <c r="I19" s="486" t="s">
        <v>246</v>
      </c>
      <c r="J19" s="476" t="s">
        <v>238</v>
      </c>
      <c r="K19" s="476" t="s">
        <v>183</v>
      </c>
      <c r="L19" s="476">
        <v>1</v>
      </c>
      <c r="M19" s="450" t="str">
        <f t="shared" si="14"/>
        <v>Muy Baja</v>
      </c>
      <c r="N19" s="451">
        <f t="shared" si="15"/>
        <v>0.2</v>
      </c>
      <c r="O19" s="452" t="s">
        <v>214</v>
      </c>
      <c r="P19" s="451" t="str">
        <f>IF(NOT(ISERROR(MATCH(O19,'Tabla Impacto'!$B$222:$B$224,0))),'Tabla Impacto'!$F$224&amp;"Por favor no seleccionar los criterios de impacto(Afectación Económica o presupuestal y Pérdida Reputacional)",O19)</f>
        <v xml:space="preserve">     El riesgo afecta la imagen de la entidad con algunos usuarios de relevancia frente al logro de los objetivos</v>
      </c>
      <c r="Q19" s="453" t="str">
        <f>IF(OR(P19='[1]Tabla Impacto'!$C$12,P19='[1]Tabla Impacto'!$D$12),"Leve",IF(OR(P19='[1]Tabla Impacto'!$C$13,P19='[1]Tabla Impacto'!$D$13),"Menor",IF(OR(P19='[1]Tabla Impacto'!$C$14,P19='[1]Tabla Impacto'!$D$14),"Moderado",IF(OR(P19='[1]Tabla Impacto'!$C$15,P19='[1]Tabla Impacto'!$D$15),"Mayor",IF(OR(P19='[1]Tabla Impacto'!$C$16,P19='[1]Tabla Impacto'!$D$16),"Catastrófico","")))))</f>
        <v>Moderado</v>
      </c>
      <c r="R19" s="452">
        <f t="shared" si="0"/>
        <v>0.6</v>
      </c>
      <c r="S19" s="454" t="str">
        <f t="shared" si="1"/>
        <v>Moderado</v>
      </c>
      <c r="T19" s="453">
        <v>2</v>
      </c>
      <c r="U19" s="487" t="s">
        <v>250</v>
      </c>
      <c r="V19" s="457" t="str">
        <f t="shared" si="2"/>
        <v>Probabilidad</v>
      </c>
      <c r="W19" s="458" t="s">
        <v>187</v>
      </c>
      <c r="X19" s="458" t="s">
        <v>188</v>
      </c>
      <c r="Y19" s="459" t="str">
        <f t="shared" si="3"/>
        <v>40%</v>
      </c>
      <c r="Z19" s="458" t="s">
        <v>222</v>
      </c>
      <c r="AA19" s="458" t="s">
        <v>190</v>
      </c>
      <c r="AB19" s="458" t="s">
        <v>191</v>
      </c>
      <c r="AC19" s="460">
        <f>IFERROR(IF(AND(V18="Probabilidad",V19="Probabilidad"),(AE18-(+AE18*Y19)),IF(AND(V18="Impacto",V19="Probabilidad"),(AE18-(+AE18*Y19)),IF(V19="Impacto",AE18,""))),"")</f>
        <v>0.216</v>
      </c>
      <c r="AD19" s="461" t="str">
        <f t="shared" ref="AD19:AD21" si="18">IFERROR(IF(AC19="","",IF(AC19&lt;=0.2,"Muy Baja",IF(AC19&lt;=0.4,"Baja",IF(AC19&lt;=0.6,"Media",IF(AC19&lt;=0.8,"Alta","Muy Alta"))))),"")</f>
        <v>Baja</v>
      </c>
      <c r="AE19" s="462">
        <f t="shared" ref="AE19:AE21" si="19">+AC19</f>
        <v>0.216</v>
      </c>
      <c r="AF19" s="461" t="str">
        <f t="shared" si="16"/>
        <v>Menor</v>
      </c>
      <c r="AG19" s="462">
        <f>IFERROR(IF(AND(V18="Impacto",V19="Impacto"),(AG7-(+AG7*Y19)),IF(V19="Impacto",($R$15-(+$R$15*Y19)),IF(V19="Probabilidad",AG7,""))),"")</f>
        <v>0.22500000000000003</v>
      </c>
      <c r="AH19" s="463" t="str">
        <f t="shared" si="17"/>
        <v>Moderado</v>
      </c>
      <c r="AI19" s="464" t="s">
        <v>192</v>
      </c>
      <c r="AJ19" s="640"/>
      <c r="AK19" s="640"/>
      <c r="AL19" s="640"/>
      <c r="AM19" s="640"/>
      <c r="AN19" s="651"/>
    </row>
    <row r="20" spans="1:40" ht="237" customHeight="1" x14ac:dyDescent="0.2">
      <c r="A20" s="469">
        <v>7</v>
      </c>
      <c r="B20" s="469" t="s">
        <v>243</v>
      </c>
      <c r="C20" s="470" t="s">
        <v>177</v>
      </c>
      <c r="D20" s="447" t="str">
        <f>IFERROR(INDEX('Base de datos gestión'!$D$28:$D$50,MATCH(C20,'Base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20" s="447" t="str">
        <f>IFERROR(INDEX('Base de datos gestión'!$E$28:$E$50,MATCH(C20,'Base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20" s="474" t="s">
        <v>234</v>
      </c>
      <c r="G20" s="485" t="s">
        <v>244</v>
      </c>
      <c r="H20" s="486" t="s">
        <v>245</v>
      </c>
      <c r="I20" s="486" t="s">
        <v>246</v>
      </c>
      <c r="J20" s="476" t="s">
        <v>238</v>
      </c>
      <c r="K20" s="476" t="s">
        <v>183</v>
      </c>
      <c r="L20" s="476">
        <v>1</v>
      </c>
      <c r="M20" s="450" t="str">
        <f t="shared" si="14"/>
        <v>Muy Baja</v>
      </c>
      <c r="N20" s="451">
        <f t="shared" si="15"/>
        <v>0.2</v>
      </c>
      <c r="O20" s="452" t="s">
        <v>214</v>
      </c>
      <c r="P20" s="451" t="str">
        <f>IF(NOT(ISERROR(MATCH(O20,'Tabla Impacto'!$B$222:$B$224,0))),'Tabla Impacto'!$F$224&amp;"Por favor no seleccionar los criterios de impacto(Afectación Económica o presupuestal y Pérdida Reputacional)",O20)</f>
        <v xml:space="preserve">     El riesgo afecta la imagen de la entidad con algunos usuarios de relevancia frente al logro de los objetivos</v>
      </c>
      <c r="Q20" s="453" t="str">
        <f>IF(OR(P20='[1]Tabla Impacto'!$C$12,P20='[1]Tabla Impacto'!$D$12),"Leve",IF(OR(P20='[1]Tabla Impacto'!$C$13,P20='[1]Tabla Impacto'!$D$13),"Menor",IF(OR(P20='[1]Tabla Impacto'!$C$14,P20='[1]Tabla Impacto'!$D$14),"Moderado",IF(OR(P20='[1]Tabla Impacto'!$C$15,P20='[1]Tabla Impacto'!$D$15),"Mayor",IF(OR(P20='[1]Tabla Impacto'!$C$16,P20='[1]Tabla Impacto'!$D$16),"Catastrófico","")))))</f>
        <v>Moderado</v>
      </c>
      <c r="R20" s="452">
        <f t="shared" si="0"/>
        <v>0.6</v>
      </c>
      <c r="S20" s="454" t="str">
        <f t="shared" si="1"/>
        <v>Moderado</v>
      </c>
      <c r="T20" s="453">
        <v>3</v>
      </c>
      <c r="U20" s="487" t="s">
        <v>251</v>
      </c>
      <c r="V20" s="457" t="str">
        <f t="shared" si="2"/>
        <v>Probabilidad</v>
      </c>
      <c r="W20" s="458" t="s">
        <v>187</v>
      </c>
      <c r="X20" s="458" t="s">
        <v>188</v>
      </c>
      <c r="Y20" s="459" t="str">
        <f t="shared" si="3"/>
        <v>40%</v>
      </c>
      <c r="Z20" s="458" t="s">
        <v>222</v>
      </c>
      <c r="AA20" s="458" t="s">
        <v>190</v>
      </c>
      <c r="AB20" s="458" t="s">
        <v>191</v>
      </c>
      <c r="AC20" s="460">
        <f>IFERROR(IF(AND(V19="Probabilidad",V20="Probabilidad"),(AE19-(+AE19*Y20)),IF(AND(V19="Impacto",V20="Probabilidad"),(AE19-(+AE19*Y20)),IF(V20="Impacto",AE19,""))),"")</f>
        <v>0.12959999999999999</v>
      </c>
      <c r="AD20" s="461" t="str">
        <f t="shared" si="18"/>
        <v>Muy Baja</v>
      </c>
      <c r="AE20" s="462">
        <f t="shared" si="19"/>
        <v>0.12959999999999999</v>
      </c>
      <c r="AF20" s="461" t="str">
        <f t="shared" si="16"/>
        <v>Menor</v>
      </c>
      <c r="AG20" s="462">
        <f t="shared" ref="AG20:AG21" si="20">IFERROR(IF(AND(V19="Impacto",V20="Impacto"),(AG19-(+AG19*Y20)),IF(AND(V19="Probabilidad",V20="Impacto"),(AG18-(+AG18*Y20)),IF(V20="Probabilidad",AG19,""))),"")</f>
        <v>0.22500000000000003</v>
      </c>
      <c r="AH20" s="463" t="str">
        <f t="shared" si="17"/>
        <v>Bajo</v>
      </c>
      <c r="AI20" s="464" t="s">
        <v>192</v>
      </c>
      <c r="AJ20" s="640"/>
      <c r="AK20" s="640"/>
      <c r="AL20" s="640"/>
      <c r="AM20" s="640"/>
      <c r="AN20" s="651"/>
    </row>
    <row r="21" spans="1:40" ht="236.25" customHeight="1" x14ac:dyDescent="0.2">
      <c r="A21" s="469">
        <v>7</v>
      </c>
      <c r="B21" s="469" t="s">
        <v>243</v>
      </c>
      <c r="C21" s="470" t="s">
        <v>177</v>
      </c>
      <c r="D21" s="447" t="str">
        <f>IFERROR(INDEX('Base de datos gestión'!$D$28:$D$50,MATCH(C21,'Base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21" s="447" t="str">
        <f>IFERROR(INDEX('Base de datos gestión'!$E$28:$E$50,MATCH(C21,'Base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21" s="474" t="s">
        <v>234</v>
      </c>
      <c r="G21" s="485" t="s">
        <v>244</v>
      </c>
      <c r="H21" s="486" t="s">
        <v>245</v>
      </c>
      <c r="I21" s="486" t="s">
        <v>246</v>
      </c>
      <c r="J21" s="476" t="s">
        <v>238</v>
      </c>
      <c r="K21" s="476" t="s">
        <v>183</v>
      </c>
      <c r="L21" s="476">
        <v>1</v>
      </c>
      <c r="M21" s="450" t="str">
        <f t="shared" si="14"/>
        <v>Muy Baja</v>
      </c>
      <c r="N21" s="451">
        <f t="shared" si="15"/>
        <v>0.2</v>
      </c>
      <c r="O21" s="452" t="s">
        <v>214</v>
      </c>
      <c r="P21" s="451" t="str">
        <f>IF(NOT(ISERROR(MATCH(O21,'Tabla Impacto'!$B$222:$B$224,0))),'Tabla Impacto'!$F$224&amp;"Por favor no seleccionar los criterios de impacto(Afectación Económica o presupuestal y Pérdida Reputacional)",O21)</f>
        <v xml:space="preserve">     El riesgo afecta la imagen de la entidad con algunos usuarios de relevancia frente al logro de los objetivos</v>
      </c>
      <c r="Q21" s="453" t="str">
        <f>IF(OR(P21='[1]Tabla Impacto'!$C$12,P21='[1]Tabla Impacto'!$D$12),"Leve",IF(OR(P21='[1]Tabla Impacto'!$C$13,P21='[1]Tabla Impacto'!$D$13),"Menor",IF(OR(P21='[1]Tabla Impacto'!$C$14,P21='[1]Tabla Impacto'!$D$14),"Moderado",IF(OR(P21='[1]Tabla Impacto'!$C$15,P21='[1]Tabla Impacto'!$D$15),"Mayor",IF(OR(P21='[1]Tabla Impacto'!$C$16,P21='[1]Tabla Impacto'!$D$16),"Catastrófico","")))))</f>
        <v>Moderado</v>
      </c>
      <c r="R21" s="452">
        <f t="shared" si="0"/>
        <v>0.6</v>
      </c>
      <c r="S21" s="454" t="str">
        <f t="shared" si="1"/>
        <v>Moderado</v>
      </c>
      <c r="T21" s="453">
        <v>4</v>
      </c>
      <c r="U21" s="487" t="s">
        <v>252</v>
      </c>
      <c r="V21" s="457" t="str">
        <f t="shared" si="2"/>
        <v>Probabilidad</v>
      </c>
      <c r="W21" s="458" t="s">
        <v>187</v>
      </c>
      <c r="X21" s="458" t="s">
        <v>188</v>
      </c>
      <c r="Y21" s="459" t="str">
        <f t="shared" si="3"/>
        <v>40%</v>
      </c>
      <c r="Z21" s="458" t="s">
        <v>222</v>
      </c>
      <c r="AA21" s="458" t="s">
        <v>190</v>
      </c>
      <c r="AB21" s="458" t="s">
        <v>191</v>
      </c>
      <c r="AC21" s="460">
        <f t="shared" ref="AC21" si="21">IFERROR(IF(AND(V20="Probabilidad",V21="Probabilidad"),(AE20-(+AE20*Y21)),IF(AND(V20="Impacto",V21="Probabilidad"),(AE20-(+AE20*Y21)),IF(V21="Impacto",AE20,""))),"")</f>
        <v>7.7759999999999996E-2</v>
      </c>
      <c r="AD21" s="461" t="str">
        <f t="shared" si="18"/>
        <v>Muy Baja</v>
      </c>
      <c r="AE21" s="462">
        <f t="shared" si="19"/>
        <v>7.7759999999999996E-2</v>
      </c>
      <c r="AF21" s="461" t="str">
        <f t="shared" si="16"/>
        <v>Menor</v>
      </c>
      <c r="AG21" s="462">
        <f t="shared" si="20"/>
        <v>0.22500000000000003</v>
      </c>
      <c r="AH21" s="463" t="str">
        <f t="shared" si="17"/>
        <v>Bajo</v>
      </c>
      <c r="AI21" s="464" t="s">
        <v>192</v>
      </c>
      <c r="AJ21" s="641"/>
      <c r="AK21" s="641"/>
      <c r="AL21" s="641"/>
      <c r="AM21" s="641"/>
      <c r="AN21" s="638"/>
    </row>
    <row r="22" spans="1:40" ht="151.5" customHeight="1" x14ac:dyDescent="0.2">
      <c r="A22" s="469">
        <v>8</v>
      </c>
      <c r="B22" s="469" t="s">
        <v>253</v>
      </c>
      <c r="C22" s="470" t="s">
        <v>254</v>
      </c>
      <c r="D22" s="447" t="str">
        <f>IFERROR(INDEX('Base de datos gestión'!$D$28:$D$50,MATCH(C22,'Base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22" s="447" t="str">
        <f>IFERROR(INDEX('Base de datos gestión'!$E$28:$E$50,MATCH(C22,'Base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22" s="474" t="s">
        <v>178</v>
      </c>
      <c r="G22" s="475" t="s">
        <v>255</v>
      </c>
      <c r="H22" s="474" t="s">
        <v>256</v>
      </c>
      <c r="I22" s="474" t="s">
        <v>257</v>
      </c>
      <c r="J22" s="476" t="s">
        <v>182</v>
      </c>
      <c r="K22" s="476" t="s">
        <v>258</v>
      </c>
      <c r="L22" s="476">
        <v>50</v>
      </c>
      <c r="M22" s="450" t="str">
        <f t="shared" si="14"/>
        <v>Media</v>
      </c>
      <c r="N22" s="451">
        <f t="shared" si="15"/>
        <v>0.6</v>
      </c>
      <c r="O22" s="452" t="s">
        <v>214</v>
      </c>
      <c r="P22" s="451" t="str">
        <f>IF(NOT(ISERROR(MATCH(O22,'Tabla Impacto'!$B$222:$B$224,0))),'Tabla Impacto'!$F$224&amp;"Por favor no seleccionar los criterios de impacto(Afectación Económica o presupuestal y Pérdida Reputacional)",O22)</f>
        <v xml:space="preserve">     El riesgo afecta la imagen de la entidad con algunos usuarios de relevancia frente al logro de los objetivos</v>
      </c>
      <c r="Q22" s="453" t="s">
        <v>8</v>
      </c>
      <c r="R22" s="452">
        <f t="shared" si="0"/>
        <v>0.6</v>
      </c>
      <c r="S22" s="454" t="str">
        <f t="shared" si="1"/>
        <v>Moderado</v>
      </c>
      <c r="T22" s="457">
        <v>1</v>
      </c>
      <c r="U22" s="477" t="s">
        <v>259</v>
      </c>
      <c r="V22" s="457" t="str">
        <f t="shared" si="2"/>
        <v>Probabilidad</v>
      </c>
      <c r="W22" s="458" t="s">
        <v>187</v>
      </c>
      <c r="X22" s="458" t="s">
        <v>188</v>
      </c>
      <c r="Y22" s="459" t="str">
        <f t="shared" si="3"/>
        <v>40%</v>
      </c>
      <c r="Z22" s="458" t="s">
        <v>222</v>
      </c>
      <c r="AA22" s="458" t="s">
        <v>190</v>
      </c>
      <c r="AB22" s="458" t="s">
        <v>191</v>
      </c>
      <c r="AC22" s="460">
        <f>IFERROR(IF(AND(V17="Probabilidad",V22="Probabilidad"),(AE17-(+AE17*Y22)),IF(AND(V17="Impacto",V22="Probabilidad"),(AE16-(+AE16*Y22)),IF(V22="Impacto",AE17,""))),"")</f>
        <v>0.12959999999999999</v>
      </c>
      <c r="AD22" s="461" t="str">
        <f t="shared" si="4"/>
        <v>Muy Baja</v>
      </c>
      <c r="AE22" s="462">
        <f t="shared" si="5"/>
        <v>0.12959999999999999</v>
      </c>
      <c r="AF22" s="461" t="str">
        <f t="shared" si="6"/>
        <v>Moderado</v>
      </c>
      <c r="AG22" s="462">
        <f>IFERROR(IF(AND(V17="Impacto",V22="Impacto"),(AG17-(+AG17*Y22)),IF(AND(V17="Probabilidad",V22="Impacto"),(AG16-(+AG16*Y22)),IF(V22="Probabilidad",AG17,""))),"")</f>
        <v>0.60000000000000009</v>
      </c>
      <c r="AH22" s="463" t="str">
        <f t="shared" si="7"/>
        <v>Moderado</v>
      </c>
      <c r="AI22" s="464" t="s">
        <v>192</v>
      </c>
      <c r="AJ22" s="465"/>
      <c r="AK22" s="465"/>
      <c r="AL22" s="466"/>
      <c r="AM22" s="467"/>
      <c r="AN22" s="468"/>
    </row>
    <row r="23" spans="1:40" ht="151.5" customHeight="1" x14ac:dyDescent="0.2">
      <c r="A23" s="469">
        <v>8</v>
      </c>
      <c r="B23" s="469" t="s">
        <v>253</v>
      </c>
      <c r="C23" s="470" t="s">
        <v>254</v>
      </c>
      <c r="D23" s="447" t="str">
        <f>IFERROR(INDEX('Base de datos gestión'!$D$28:$D$50,MATCH(C23,'Base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23" s="447" t="str">
        <f>IFERROR(INDEX('Base de datos gestión'!$E$28:$E$50,MATCH(C23,'Base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23" s="474" t="s">
        <v>178</v>
      </c>
      <c r="G23" s="475" t="s">
        <v>255</v>
      </c>
      <c r="H23" s="474" t="s">
        <v>256</v>
      </c>
      <c r="I23" s="474" t="s">
        <v>257</v>
      </c>
      <c r="J23" s="476" t="s">
        <v>182</v>
      </c>
      <c r="K23" s="476" t="s">
        <v>258</v>
      </c>
      <c r="L23" s="476">
        <v>50</v>
      </c>
      <c r="M23" s="450" t="str">
        <f t="shared" si="14"/>
        <v>Media</v>
      </c>
      <c r="N23" s="451">
        <f t="shared" si="15"/>
        <v>0.6</v>
      </c>
      <c r="O23" s="452" t="s">
        <v>214</v>
      </c>
      <c r="P23" s="451" t="str">
        <f>IF(NOT(ISERROR(MATCH(O23,'Tabla Impacto'!$B$222:$B$224,0))),'Tabla Impacto'!$F$224&amp;"Por favor no seleccionar los criterios de impacto(Afectación Económica o presupuestal y Pérdida Reputacional)",O23)</f>
        <v xml:space="preserve">     El riesgo afecta la imagen de la entidad con algunos usuarios de relevancia frente al logro de los objetivos</v>
      </c>
      <c r="Q23" s="453" t="s">
        <v>8</v>
      </c>
      <c r="R23" s="452">
        <f t="shared" si="0"/>
        <v>0.6</v>
      </c>
      <c r="S23" s="454" t="str">
        <f t="shared" si="1"/>
        <v>Moderado</v>
      </c>
      <c r="T23" s="457">
        <v>2</v>
      </c>
      <c r="U23" s="477" t="s">
        <v>260</v>
      </c>
      <c r="V23" s="457" t="str">
        <f t="shared" si="2"/>
        <v>Probabilidad</v>
      </c>
      <c r="W23" s="458" t="s">
        <v>187</v>
      </c>
      <c r="X23" s="458" t="s">
        <v>188</v>
      </c>
      <c r="Y23" s="459" t="str">
        <f t="shared" si="3"/>
        <v>40%</v>
      </c>
      <c r="Z23" s="458" t="s">
        <v>222</v>
      </c>
      <c r="AA23" s="458" t="s">
        <v>190</v>
      </c>
      <c r="AB23" s="458" t="s">
        <v>191</v>
      </c>
      <c r="AC23" s="460">
        <f>IFERROR(IF(AND(V22="Probabilidad",V23="Probabilidad"),(AE22-(+AE22*Y23)),IF(AND(V22="Impacto",V23="Probabilidad"),(AE17-(+AE17*Y23)),IF(V23="Impacto",AE22,""))),"")</f>
        <v>7.7759999999999996E-2</v>
      </c>
      <c r="AD23" s="461" t="str">
        <f t="shared" si="4"/>
        <v>Muy Baja</v>
      </c>
      <c r="AE23" s="462">
        <f t="shared" si="5"/>
        <v>7.7759999999999996E-2</v>
      </c>
      <c r="AF23" s="461" t="str">
        <f t="shared" si="6"/>
        <v>Moderado</v>
      </c>
      <c r="AG23" s="462">
        <f>IFERROR(IF(AND(V22="Impacto",V23="Impacto"),(AG22-(+AG22*Y23)),IF(AND(V22="Probabilidad",V23="Impacto"),(AG17-(+AG17*Y23)),IF(V23="Probabilidad",AG22,""))),"")</f>
        <v>0.60000000000000009</v>
      </c>
      <c r="AH23" s="463" t="str">
        <f t="shared" si="7"/>
        <v>Moderado</v>
      </c>
      <c r="AI23" s="464" t="s">
        <v>192</v>
      </c>
      <c r="AJ23" s="465"/>
      <c r="AK23" s="465"/>
      <c r="AL23" s="466"/>
      <c r="AM23" s="467"/>
      <c r="AN23" s="468"/>
    </row>
    <row r="24" spans="1:40" ht="151.5" customHeight="1" x14ac:dyDescent="0.2">
      <c r="A24" s="478">
        <v>8</v>
      </c>
      <c r="B24" s="478" t="s">
        <v>253</v>
      </c>
      <c r="C24" s="479" t="s">
        <v>254</v>
      </c>
      <c r="D24" s="447" t="str">
        <f>IFERROR(INDEX('Base de datos gestión'!$D$28:$D$50,MATCH(C24,'Base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24" s="447" t="str">
        <f>IFERROR(INDEX('Base de datos gestión'!$E$28:$E$50,MATCH(C24,'Base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24" s="474" t="s">
        <v>178</v>
      </c>
      <c r="G24" s="475" t="s">
        <v>255</v>
      </c>
      <c r="H24" s="474" t="s">
        <v>256</v>
      </c>
      <c r="I24" s="474" t="s">
        <v>257</v>
      </c>
      <c r="J24" s="476" t="s">
        <v>182</v>
      </c>
      <c r="K24" s="476" t="s">
        <v>258</v>
      </c>
      <c r="L24" s="476">
        <v>50</v>
      </c>
      <c r="M24" s="450" t="str">
        <f t="shared" si="14"/>
        <v>Media</v>
      </c>
      <c r="N24" s="451">
        <f t="shared" si="15"/>
        <v>0.6</v>
      </c>
      <c r="O24" s="452" t="s">
        <v>214</v>
      </c>
      <c r="P24" s="451" t="str">
        <f>IF(NOT(ISERROR(MATCH(O24,'Tabla Impacto'!$B$222:$B$224,0))),'Tabla Impacto'!$F$224&amp;"Por favor no seleccionar los criterios de impacto(Afectación Económica o presupuestal y Pérdida Reputacional)",O24)</f>
        <v xml:space="preserve">     El riesgo afecta la imagen de la entidad con algunos usuarios de relevancia frente al logro de los objetivos</v>
      </c>
      <c r="Q24" s="453" t="s">
        <v>8</v>
      </c>
      <c r="R24" s="452">
        <f t="shared" si="0"/>
        <v>0.6</v>
      </c>
      <c r="S24" s="454" t="str">
        <f t="shared" si="1"/>
        <v>Moderado</v>
      </c>
      <c r="T24" s="457">
        <v>3</v>
      </c>
      <c r="U24" s="477" t="s">
        <v>261</v>
      </c>
      <c r="V24" s="457" t="str">
        <f t="shared" si="2"/>
        <v>Probabilidad</v>
      </c>
      <c r="W24" s="458" t="s">
        <v>187</v>
      </c>
      <c r="X24" s="458" t="s">
        <v>188</v>
      </c>
      <c r="Y24" s="459" t="str">
        <f t="shared" si="3"/>
        <v>40%</v>
      </c>
      <c r="Z24" s="458" t="s">
        <v>189</v>
      </c>
      <c r="AA24" s="458" t="s">
        <v>202</v>
      </c>
      <c r="AB24" s="458" t="s">
        <v>216</v>
      </c>
      <c r="AC24" s="460">
        <f>IFERROR(IF(AND(V23="Probabilidad",V24="Probabilidad"),(AE23-(+AE23*Y24)),IF(AND(V23="Impacto",V24="Probabilidad"),(AE22-(+AE22*Y24)),IF(V24="Impacto",AE23,""))),"")</f>
        <v>4.6655999999999996E-2</v>
      </c>
      <c r="AD24" s="461" t="str">
        <f t="shared" si="4"/>
        <v>Muy Baja</v>
      </c>
      <c r="AE24" s="462">
        <f t="shared" si="5"/>
        <v>4.6655999999999996E-2</v>
      </c>
      <c r="AF24" s="461" t="str">
        <f t="shared" si="6"/>
        <v>Moderado</v>
      </c>
      <c r="AG24" s="462">
        <f>IFERROR(IF(AND(V23="Impacto",V24="Impacto"),(AG23-(+AG23*Y24)),IF(AND(V23="Probabilidad",V24="Impacto"),(AG22-(+AG22*Y24)),IF(V24="Probabilidad",AG23,""))),"")</f>
        <v>0.60000000000000009</v>
      </c>
      <c r="AH24" s="463" t="str">
        <f t="shared" si="7"/>
        <v>Moderado</v>
      </c>
      <c r="AI24" s="464" t="s">
        <v>192</v>
      </c>
      <c r="AJ24" s="465"/>
      <c r="AK24" s="465"/>
      <c r="AL24" s="466"/>
      <c r="AM24" s="467"/>
      <c r="AN24" s="468"/>
    </row>
    <row r="25" spans="1:40" ht="217.5" customHeight="1" x14ac:dyDescent="0.2">
      <c r="A25" s="446">
        <v>9</v>
      </c>
      <c r="B25" s="446" t="s">
        <v>262</v>
      </c>
      <c r="C25" s="447" t="s">
        <v>254</v>
      </c>
      <c r="D25" s="447" t="str">
        <f>IFERROR(INDEX('Base de datos gestión'!$D$28:$D$50,MATCH(C25,'Base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25" s="447" t="str">
        <f>IFERROR(INDEX('Base de datos gestión'!$E$28:$E$50,MATCH(C25,'Base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25" s="474" t="s">
        <v>178</v>
      </c>
      <c r="G25" s="475" t="s">
        <v>263</v>
      </c>
      <c r="H25" s="573" t="s">
        <v>264</v>
      </c>
      <c r="I25" s="474" t="s">
        <v>265</v>
      </c>
      <c r="J25" s="476" t="s">
        <v>182</v>
      </c>
      <c r="K25" s="476" t="s">
        <v>183</v>
      </c>
      <c r="L25" s="476">
        <v>250</v>
      </c>
      <c r="M25" s="450" t="str">
        <f>IF(L25&lt;=0,"",IF(L25&lt;=2,"Muy Baja",IF(L25&lt;=24,"Baja",IF(L25&lt;=500,"Media",IF(L25&lt;=5000,"Alta","Muy Alta")))))</f>
        <v>Media</v>
      </c>
      <c r="N25" s="451">
        <f t="shared" si="15"/>
        <v>0.6</v>
      </c>
      <c r="O25" s="452" t="s">
        <v>214</v>
      </c>
      <c r="P25" s="451" t="str">
        <f>IF(NOT(ISERROR(MATCH(O25,'Tabla Impacto'!$B$222:$B$224,0))),'Tabla Impacto'!$F$224&amp;"Por favor no seleccionar los criterios de impacto(Afectación Económica o presupuestal y Pérdida Reputacional)",O25)</f>
        <v xml:space="preserve">     El riesgo afecta la imagen de la entidad con algunos usuarios de relevancia frente al logro de los objetivos</v>
      </c>
      <c r="Q25" s="453" t="s">
        <v>8</v>
      </c>
      <c r="R25" s="452">
        <f t="shared" si="0"/>
        <v>0.6</v>
      </c>
      <c r="S25" s="454" t="str">
        <f t="shared" si="1"/>
        <v>Moderado</v>
      </c>
      <c r="T25" s="457">
        <v>1</v>
      </c>
      <c r="U25" s="477" t="s">
        <v>266</v>
      </c>
      <c r="V25" s="457" t="str">
        <f t="shared" si="2"/>
        <v>Probabilidad</v>
      </c>
      <c r="W25" s="458" t="s">
        <v>187</v>
      </c>
      <c r="X25" s="458" t="s">
        <v>188</v>
      </c>
      <c r="Y25" s="459" t="str">
        <f t="shared" si="3"/>
        <v>40%</v>
      </c>
      <c r="Z25" s="458" t="s">
        <v>222</v>
      </c>
      <c r="AA25" s="458" t="s">
        <v>190</v>
      </c>
      <c r="AB25" s="458" t="s">
        <v>191</v>
      </c>
      <c r="AC25" s="460">
        <f>IFERROR(IF(V25="Probabilidad",(N25-(+N25*Y25)),IF(V25="Impacto",N25,"")),"")</f>
        <v>0.36</v>
      </c>
      <c r="AD25" s="461" t="str">
        <f t="shared" si="4"/>
        <v>Baja</v>
      </c>
      <c r="AE25" s="462">
        <f t="shared" si="5"/>
        <v>0.36</v>
      </c>
      <c r="AF25" s="461" t="str">
        <f t="shared" si="6"/>
        <v>Moderado</v>
      </c>
      <c r="AG25" s="462">
        <f>IFERROR(IF(V25="Impacto",(R25-(+R25*Y25)),IF(V25="Probabilidad",R25,"")),"")</f>
        <v>0.6</v>
      </c>
      <c r="AH25" s="463" t="str">
        <f t="shared" si="7"/>
        <v>Moderado</v>
      </c>
      <c r="AI25" s="464" t="s">
        <v>192</v>
      </c>
      <c r="AJ25" s="465" t="s">
        <v>267</v>
      </c>
      <c r="AK25" s="465" t="s">
        <v>268</v>
      </c>
      <c r="AL25" s="466" t="s">
        <v>269</v>
      </c>
      <c r="AM25" s="467">
        <v>46129</v>
      </c>
      <c r="AN25" s="468" t="s">
        <v>270</v>
      </c>
    </row>
    <row r="26" spans="1:40" ht="174" customHeight="1" x14ac:dyDescent="0.2">
      <c r="A26" s="469">
        <v>9</v>
      </c>
      <c r="B26" s="469" t="s">
        <v>262</v>
      </c>
      <c r="C26" s="470" t="s">
        <v>254</v>
      </c>
      <c r="D26" s="447" t="str">
        <f>IFERROR(INDEX('Base de datos gestión'!$D$28:$D$50,MATCH(C26,'Base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26" s="447" t="str">
        <f>IFERROR(INDEX('Base de datos gestión'!$E$28:$E$50,MATCH(C26,'Base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26" s="474" t="s">
        <v>178</v>
      </c>
      <c r="G26" s="475" t="s">
        <v>263</v>
      </c>
      <c r="H26" s="573" t="s">
        <v>264</v>
      </c>
      <c r="I26" s="474" t="s">
        <v>265</v>
      </c>
      <c r="J26" s="476" t="s">
        <v>182</v>
      </c>
      <c r="K26" s="476" t="s">
        <v>183</v>
      </c>
      <c r="L26" s="476">
        <v>250</v>
      </c>
      <c r="M26" s="450" t="str">
        <f>IF(L26&lt;=0,"",IF(L26&lt;=2,"Muy Baja",IF(L26&lt;=24,"Baja",IF(L26&lt;=500,"Media",IF(L26&lt;=5000,"Alta","Muy Alta")))))</f>
        <v>Media</v>
      </c>
      <c r="N26" s="451">
        <f t="shared" si="15"/>
        <v>0.6</v>
      </c>
      <c r="O26" s="452" t="s">
        <v>214</v>
      </c>
      <c r="P26" s="451" t="str">
        <f>IF(NOT(ISERROR(MATCH(O26,'Tabla Impacto'!$B$222:$B$224,0))),'Tabla Impacto'!$F$224&amp;"Por favor no seleccionar los criterios de impacto(Afectación Económica o presupuestal y Pérdida Reputacional)",O26)</f>
        <v xml:space="preserve">     El riesgo afecta la imagen de la entidad con algunos usuarios de relevancia frente al logro de los objetivos</v>
      </c>
      <c r="Q26" s="453" t="s">
        <v>8</v>
      </c>
      <c r="R26" s="452">
        <f t="shared" si="0"/>
        <v>0.6</v>
      </c>
      <c r="S26" s="454" t="str">
        <f t="shared" si="1"/>
        <v>Moderado</v>
      </c>
      <c r="T26" s="457">
        <v>2</v>
      </c>
      <c r="U26" s="477" t="s">
        <v>271</v>
      </c>
      <c r="V26" s="457" t="str">
        <f t="shared" si="2"/>
        <v>Probabilidad</v>
      </c>
      <c r="W26" s="458" t="s">
        <v>228</v>
      </c>
      <c r="X26" s="458" t="s">
        <v>188</v>
      </c>
      <c r="Y26" s="459" t="str">
        <f t="shared" si="3"/>
        <v>30%</v>
      </c>
      <c r="Z26" s="458" t="s">
        <v>189</v>
      </c>
      <c r="AA26" s="458" t="s">
        <v>190</v>
      </c>
      <c r="AB26" s="458" t="s">
        <v>191</v>
      </c>
      <c r="AC26" s="460">
        <f>IFERROR(IF(AND(V25="Probabilidad",V26="Probabilidad"),(AE25-(+AE25*Y26)),IF(V26="Probabilidad",(N25-(+N25*Y26)),IF(V26="Impacto",AE25,""))),"")</f>
        <v>0.252</v>
      </c>
      <c r="AD26" s="461" t="str">
        <f t="shared" si="4"/>
        <v>Baja</v>
      </c>
      <c r="AE26" s="462">
        <f t="shared" si="5"/>
        <v>0.252</v>
      </c>
      <c r="AF26" s="461" t="str">
        <f t="shared" si="6"/>
        <v>Mayor</v>
      </c>
      <c r="AG26" s="462">
        <f>IFERROR(IF(AND(V25="Impacto",V26="Impacto"),(AG15-(+AG15*Y26)),IF(V26="Impacto",($R$25-(+$R$25*Y26)),IF(V26="Probabilidad",AG15,""))),"")</f>
        <v>0.8</v>
      </c>
      <c r="AH26" s="463" t="str">
        <f t="shared" si="7"/>
        <v>Alto</v>
      </c>
      <c r="AI26" s="464" t="s">
        <v>192</v>
      </c>
      <c r="AJ26" s="465" t="s">
        <v>272</v>
      </c>
      <c r="AK26" s="465" t="s">
        <v>268</v>
      </c>
      <c r="AL26" s="466" t="s">
        <v>269</v>
      </c>
      <c r="AM26" s="467">
        <v>46129</v>
      </c>
      <c r="AN26" s="468" t="s">
        <v>270</v>
      </c>
    </row>
    <row r="27" spans="1:40" ht="174" customHeight="1" x14ac:dyDescent="0.2">
      <c r="A27" s="469">
        <v>9</v>
      </c>
      <c r="B27" s="469" t="s">
        <v>262</v>
      </c>
      <c r="C27" s="470" t="s">
        <v>254</v>
      </c>
      <c r="D27" s="447" t="str">
        <f>IFERROR(INDEX('Base de datos gestión'!$D$28:$D$50,MATCH(C27,'Base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27" s="447" t="str">
        <f>IFERROR(INDEX('Base de datos gestión'!$E$28:$E$50,MATCH(C27,'Base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27" s="474" t="s">
        <v>178</v>
      </c>
      <c r="G27" s="475" t="s">
        <v>263</v>
      </c>
      <c r="H27" s="573" t="s">
        <v>264</v>
      </c>
      <c r="I27" s="474" t="s">
        <v>265</v>
      </c>
      <c r="J27" s="476" t="s">
        <v>182</v>
      </c>
      <c r="K27" s="476" t="s">
        <v>183</v>
      </c>
      <c r="L27" s="476">
        <v>250</v>
      </c>
      <c r="M27" s="450" t="str">
        <f t="shared" ref="M27:M31" si="22">IF(L27&lt;=0,"",IF(L27&lt;=2,"Muy Baja",IF(L27&lt;=24,"Baja",IF(L27&lt;=500,"Media",IF(L27&lt;=5000,"Alta","Muy Alta")))))</f>
        <v>Media</v>
      </c>
      <c r="N27" s="451">
        <f t="shared" si="15"/>
        <v>0.6</v>
      </c>
      <c r="O27" s="452" t="s">
        <v>214</v>
      </c>
      <c r="P27" s="451" t="str">
        <f>IF(NOT(ISERROR(MATCH(O27,'Tabla Impacto'!$B$222:$B$224,0))),'Tabla Impacto'!$F$224&amp;"Por favor no seleccionar los criterios de impacto(Afectación Económica o presupuestal y Pérdida Reputacional)",O27)</f>
        <v xml:space="preserve">     El riesgo afecta la imagen de la entidad con algunos usuarios de relevancia frente al logro de los objetivos</v>
      </c>
      <c r="Q27" s="453" t="s">
        <v>8</v>
      </c>
      <c r="R27" s="452">
        <f t="shared" si="0"/>
        <v>0.6</v>
      </c>
      <c r="S27" s="454" t="str">
        <f t="shared" si="1"/>
        <v>Moderado</v>
      </c>
      <c r="T27" s="457">
        <v>3</v>
      </c>
      <c r="U27" s="477" t="s">
        <v>273</v>
      </c>
      <c r="V27" s="457" t="str">
        <f t="shared" si="2"/>
        <v>Probabilidad</v>
      </c>
      <c r="W27" s="458" t="s">
        <v>228</v>
      </c>
      <c r="X27" s="458" t="s">
        <v>188</v>
      </c>
      <c r="Y27" s="459" t="str">
        <f t="shared" si="3"/>
        <v>30%</v>
      </c>
      <c r="Z27" s="458" t="s">
        <v>222</v>
      </c>
      <c r="AA27" s="458" t="s">
        <v>190</v>
      </c>
      <c r="AB27" s="458" t="s">
        <v>191</v>
      </c>
      <c r="AC27" s="460">
        <f>IFERROR(IF(AND(V26="Probabilidad",V27="Probabilidad"),(AE26-(+AE26*Y27)),IF(AND(V26="Impacto",V27="Probabilidad"),(AE25-(+AE25*Y27)),IF(V27="Impacto",AE26,""))),"")</f>
        <v>0.1764</v>
      </c>
      <c r="AD27" s="461" t="str">
        <f t="shared" si="4"/>
        <v>Muy Baja</v>
      </c>
      <c r="AE27" s="462">
        <f t="shared" si="5"/>
        <v>0.1764</v>
      </c>
      <c r="AF27" s="461" t="str">
        <f t="shared" si="6"/>
        <v>Mayor</v>
      </c>
      <c r="AG27" s="462">
        <f>IFERROR(IF(AND(V26="Impacto",V27="Impacto"),(AG26-(+AG26*Y27)),IF(AND(V26="Probabilidad",V27="Impacto"),(AG25-(+AG25*Y27)),IF(V27="Probabilidad",AG26,""))),"")</f>
        <v>0.8</v>
      </c>
      <c r="AH27" s="463" t="str">
        <f t="shared" si="7"/>
        <v>Alto</v>
      </c>
      <c r="AI27" s="464" t="s">
        <v>192</v>
      </c>
      <c r="AJ27" s="465" t="s">
        <v>274</v>
      </c>
      <c r="AK27" s="465" t="s">
        <v>275</v>
      </c>
      <c r="AL27" s="466" t="s">
        <v>269</v>
      </c>
      <c r="AM27" s="467">
        <v>46129</v>
      </c>
      <c r="AN27" s="468" t="s">
        <v>270</v>
      </c>
    </row>
    <row r="28" spans="1:40" ht="174" customHeight="1" x14ac:dyDescent="0.2">
      <c r="A28" s="469">
        <v>9</v>
      </c>
      <c r="B28" s="469" t="s">
        <v>262</v>
      </c>
      <c r="C28" s="470" t="s">
        <v>254</v>
      </c>
      <c r="D28" s="447" t="str">
        <f>IFERROR(INDEX('Base de datos gestión'!$D$28:$D$50,MATCH(C28,'Base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28" s="447" t="str">
        <f>IFERROR(INDEX('Base de datos gestión'!$E$28:$E$50,MATCH(C28,'Base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28" s="474" t="s">
        <v>178</v>
      </c>
      <c r="G28" s="475" t="s">
        <v>263</v>
      </c>
      <c r="H28" s="573" t="s">
        <v>264</v>
      </c>
      <c r="I28" s="474" t="s">
        <v>265</v>
      </c>
      <c r="J28" s="476" t="s">
        <v>182</v>
      </c>
      <c r="K28" s="476" t="s">
        <v>183</v>
      </c>
      <c r="L28" s="476">
        <v>250</v>
      </c>
      <c r="M28" s="450" t="str">
        <f t="shared" ref="M28" si="23">IF(L28&lt;=0,"",IF(L28&lt;=2,"Muy Baja",IF(L28&lt;=24,"Baja",IF(L28&lt;=500,"Media",IF(L28&lt;=5000,"Alta","Muy Alta")))))</f>
        <v>Media</v>
      </c>
      <c r="N28" s="451">
        <f t="shared" ref="N28" si="24">IF(M28="","",IF(M28="Muy Baja",0.2,IF(M28="Baja",0.4,IF(M28="Media",0.6,IF(M28="Alta",0.8,IF(M28="Muy Alta",1,))))))</f>
        <v>0.6</v>
      </c>
      <c r="O28" s="452" t="s">
        <v>214</v>
      </c>
      <c r="P28" s="451" t="str">
        <f>IF(NOT(ISERROR(MATCH(O28,'Tabla Impacto'!$B$222:$B$224,0))),'Tabla Impacto'!$F$224&amp;"Por favor no seleccionar los criterios de impacto(Afectación Económica o presupuestal y Pérdida Reputacional)",O28)</f>
        <v xml:space="preserve">     El riesgo afecta la imagen de la entidad con algunos usuarios de relevancia frente al logro de los objetivos</v>
      </c>
      <c r="Q28" s="453" t="s">
        <v>8</v>
      </c>
      <c r="R28" s="452">
        <f t="shared" ref="R28" si="25">IF(Q28="","",IF(Q28="Leve",0.2,IF(Q28="Menor",0.4,IF(Q28="Moderado",0.6,IF(Q28="Mayor",0.8,IF(Q28="Catastrófico",1,))))))</f>
        <v>0.6</v>
      </c>
      <c r="S28" s="454" t="str">
        <f t="shared" ref="S28" si="26">IF(OR(AND(M28="Muy Baja",Q28="Leve"),AND(M28="Muy Baja",Q28="Menor"),AND(M28="Baja",Q28="Leve")),"Bajo",IF(OR(AND(M28="Muy baja",Q28="Moderado"),AND(M28="Baja",Q28="Menor"),AND(M28="Baja",Q28="Moderado"),AND(M28="Media",Q28="Leve"),AND(M28="Media",Q28="Menor"),AND(M28="Media",Q28="Moderado"),AND(M28="Alta",Q28="Leve"),AND(M28="Alta",Q28="Menor")),"Moderado",IF(OR(AND(M28="Muy Baja",Q28="Mayor"),AND(M28="Baja",Q28="Mayor"),AND(M28="Media",Q28="Mayor"),AND(M28="Alta",Q28="Moderado"),AND(M28="Alta",Q28="Mayor"),AND(M28="Muy Alta",Q28="Leve"),AND(M28="Muy Alta",Q28="Menor"),AND(M28="Muy Alta",Q28="Moderado"),AND(M28="Muy Alta",Q28="Mayor")),"Alto",IF(OR(AND(M28="Muy Baja",Q28="Catastrófico"),AND(M28="Baja",Q28="Catastrófico"),AND(M28="Media",Q28="Catastrófico"),AND(M28="Alta",Q28="Catastrófico"),AND(M28="Muy Alta",Q28="Catastrófico")),"Extremo",""))))</f>
        <v>Moderado</v>
      </c>
      <c r="T28" s="457">
        <v>4</v>
      </c>
      <c r="U28" s="477" t="s">
        <v>276</v>
      </c>
      <c r="V28" s="457" t="str">
        <f t="shared" ref="V28" si="27">IF(OR(W28="Preventivo",W28="Detectivo"),"Probabilidad",IF(W28="Correctivo","Impacto",""))</f>
        <v>Probabilidad</v>
      </c>
      <c r="W28" s="458" t="s">
        <v>228</v>
      </c>
      <c r="X28" s="458" t="s">
        <v>188</v>
      </c>
      <c r="Y28" s="459" t="str">
        <f t="shared" ref="Y28" si="28">IF(AND(W28="Preventivo",X28="Automático"),"50%",IF(AND(W28="Preventivo",X28="Manual"),"40%",IF(AND(W28="Detectivo",X28="Automático"),"40%",IF(AND(W28="Detectivo",X28="Manual"),"30%",IF(AND(W28="Correctivo",X28="Automático"),"35%",IF(AND(W28="Correctivo",X28="Manual"),"25%",""))))))</f>
        <v>30%</v>
      </c>
      <c r="Z28" s="458" t="s">
        <v>222</v>
      </c>
      <c r="AA28" s="458" t="s">
        <v>190</v>
      </c>
      <c r="AB28" s="458" t="s">
        <v>191</v>
      </c>
      <c r="AC28" s="460">
        <f>IFERROR(IF(AND(V27="Probabilidad",V28="Probabilidad"),(AE27-(+AE27*Y28)),IF(AND(V27="Impacto",V28="Probabilidad"),(AE26-(+AE26*Y28)),IF(V28="Impacto",AE27,""))),"")</f>
        <v>0.12348000000000001</v>
      </c>
      <c r="AD28" s="461" t="str">
        <f t="shared" ref="AD28" si="29">IFERROR(IF(AC28="","",IF(AC28&lt;=0.2,"Muy Baja",IF(AC28&lt;=0.4,"Baja",IF(AC28&lt;=0.6,"Media",IF(AC28&lt;=0.8,"Alta","Muy Alta"))))),"")</f>
        <v>Muy Baja</v>
      </c>
      <c r="AE28" s="462">
        <f t="shared" ref="AE28" si="30">+AC28</f>
        <v>0.12348000000000001</v>
      </c>
      <c r="AF28" s="461" t="str">
        <f t="shared" ref="AF28" si="31">IFERROR(IF(AG28="","",IF(AG28&lt;=0.2,"Leve",IF(AG28&lt;=0.4,"Menor",IF(AG28&lt;=0.6,"Moderado",IF(AG28&lt;=0.8,"Mayor","Catastrófico"))))),"")</f>
        <v>Mayor</v>
      </c>
      <c r="AG28" s="462">
        <f>IFERROR(IF(AND(V27="Impacto",V28="Impacto"),(AG27-(+AG27*Y28)),IF(AND(V27="Probabilidad",V28="Impacto"),(AG26-(+AG26*Y28)),IF(V28="Probabilidad",AG27,""))),"")</f>
        <v>0.8</v>
      </c>
      <c r="AH28" s="463" t="str">
        <f t="shared" ref="AH28" si="32">IFERROR(IF(OR(AND(AD28="Muy Baja",AF28="Leve"),AND(AD28="Muy Baja",AF28="Menor"),AND(AD28="Baja",AF28="Leve")),"Bajo",IF(OR(AND(AD28="Muy baja",AF28="Moderado"),AND(AD28="Baja",AF28="Menor"),AND(AD28="Baja",AF28="Moderado"),AND(AD28="Media",AF28="Leve"),AND(AD28="Media",AF28="Menor"),AND(AD28="Media",AF28="Moderado"),AND(AD28="Alta",AF28="Leve"),AND(AD28="Alta",AF28="Menor")),"Moderado",IF(OR(AND(AD28="Muy Baja",AF28="Mayor"),AND(AD28="Baja",AF28="Mayor"),AND(AD28="Media",AF28="Mayor"),AND(AD28="Alta",AF28="Moderado"),AND(AD28="Alta",AF28="Mayor"),AND(AD28="Muy Alta",AF28="Leve"),AND(AD28="Muy Alta",AF28="Menor"),AND(AD28="Muy Alta",AF28="Moderado"),AND(AD28="Muy Alta",AF28="Mayor")),"Alto",IF(OR(AND(AD28="Muy Baja",AF28="Catastrófico"),AND(AD28="Baja",AF28="Catastrófico"),AND(AD28="Media",AF28="Catastrófico"),AND(AD28="Alta",AF28="Catastrófico"),AND(AD28="Muy Alta",AF28="Catastrófico")),"Extremo","")))),"")</f>
        <v>Alto</v>
      </c>
      <c r="AI28" s="464" t="s">
        <v>192</v>
      </c>
      <c r="AJ28" s="465" t="s">
        <v>274</v>
      </c>
      <c r="AK28" s="465" t="s">
        <v>275</v>
      </c>
      <c r="AL28" s="466" t="s">
        <v>269</v>
      </c>
      <c r="AM28" s="467">
        <v>46129</v>
      </c>
      <c r="AN28" s="468" t="s">
        <v>270</v>
      </c>
    </row>
    <row r="29" spans="1:40" ht="151.5" customHeight="1" x14ac:dyDescent="0.2">
      <c r="A29" s="469">
        <v>10</v>
      </c>
      <c r="B29" s="469" t="s">
        <v>277</v>
      </c>
      <c r="C29" s="470" t="s">
        <v>254</v>
      </c>
      <c r="D29" s="447" t="str">
        <f>IFERROR(INDEX('Base de datos gestión'!$D$28:$D$50,MATCH(C29,'Base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29" s="447" t="str">
        <f>IFERROR(INDEX('Base de datos gestión'!$E$28:$E$50,MATCH(C29,'Base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29" s="474" t="s">
        <v>178</v>
      </c>
      <c r="G29" s="475" t="s">
        <v>278</v>
      </c>
      <c r="H29" s="474" t="s">
        <v>279</v>
      </c>
      <c r="I29" s="474" t="s">
        <v>280</v>
      </c>
      <c r="J29" s="476" t="s">
        <v>182</v>
      </c>
      <c r="K29" s="476" t="s">
        <v>258</v>
      </c>
      <c r="L29" s="476">
        <v>50</v>
      </c>
      <c r="M29" s="450" t="str">
        <f t="shared" si="22"/>
        <v>Media</v>
      </c>
      <c r="N29" s="451">
        <f t="shared" si="15"/>
        <v>0.6</v>
      </c>
      <c r="O29" s="452" t="s">
        <v>214</v>
      </c>
      <c r="P29" s="451" t="str">
        <f>IF(NOT(ISERROR(MATCH(O29,'Tabla Impacto'!$B$222:$B$224,0))),'Tabla Impacto'!$F$224&amp;"Por favor no seleccionar los criterios de impacto(Afectación Económica o presupuestal y Pérdida Reputacional)",O29)</f>
        <v xml:space="preserve">     El riesgo afecta la imagen de la entidad con algunos usuarios de relevancia frente al logro de los objetivos</v>
      </c>
      <c r="Q29" s="453" t="s">
        <v>281</v>
      </c>
      <c r="R29" s="452">
        <f t="shared" si="0"/>
        <v>0.8</v>
      </c>
      <c r="S29" s="454" t="str">
        <f t="shared" si="1"/>
        <v>Alto</v>
      </c>
      <c r="T29" s="457">
        <v>1</v>
      </c>
      <c r="U29" s="477" t="s">
        <v>282</v>
      </c>
      <c r="V29" s="457" t="str">
        <f t="shared" si="2"/>
        <v>Probabilidad</v>
      </c>
      <c r="W29" s="458" t="s">
        <v>187</v>
      </c>
      <c r="X29" s="458" t="s">
        <v>188</v>
      </c>
      <c r="Y29" s="459" t="str">
        <f t="shared" si="3"/>
        <v>40%</v>
      </c>
      <c r="Z29" s="458" t="s">
        <v>222</v>
      </c>
      <c r="AA29" s="458" t="s">
        <v>190</v>
      </c>
      <c r="AB29" s="458" t="s">
        <v>191</v>
      </c>
      <c r="AC29" s="460">
        <f>IFERROR(IF(AND(V27="Probabilidad",V29="Probabilidad"),(AE27-(+AE27*Y29)),IF(AND(V27="Impacto",V29="Probabilidad"),(AE26-(+AE26*Y29)),IF(V29="Impacto",AE27,""))),"")</f>
        <v>0.10584</v>
      </c>
      <c r="AD29" s="461" t="str">
        <f t="shared" si="4"/>
        <v>Muy Baja</v>
      </c>
      <c r="AE29" s="462">
        <f t="shared" si="5"/>
        <v>0.10584</v>
      </c>
      <c r="AF29" s="461" t="str">
        <f t="shared" si="6"/>
        <v>Mayor</v>
      </c>
      <c r="AG29" s="462">
        <f>IFERROR(IF(AND(V27="Impacto",V29="Impacto"),(AG27-(+AG27*Y29)),IF(AND(V27="Probabilidad",V29="Impacto"),(AG26-(+AG26*Y29)),IF(V29="Probabilidad",AG27,""))),"")</f>
        <v>0.8</v>
      </c>
      <c r="AH29" s="463" t="str">
        <f t="shared" si="7"/>
        <v>Alto</v>
      </c>
      <c r="AI29" s="464" t="s">
        <v>192</v>
      </c>
      <c r="AJ29" s="465"/>
      <c r="AK29" s="465"/>
      <c r="AL29" s="466"/>
      <c r="AM29" s="467"/>
      <c r="AN29" s="468"/>
    </row>
    <row r="30" spans="1:40" ht="151.5" customHeight="1" x14ac:dyDescent="0.2">
      <c r="A30" s="469">
        <v>10</v>
      </c>
      <c r="B30" s="469" t="s">
        <v>277</v>
      </c>
      <c r="C30" s="470" t="s">
        <v>254</v>
      </c>
      <c r="D30" s="447" t="str">
        <f>IFERROR(INDEX('Base de datos gestión'!$D$28:$D$50,MATCH(C30,'Base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30" s="447" t="str">
        <f>IFERROR(INDEX('Base de datos gestión'!$E$28:$E$50,MATCH(C30,'Base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30" s="474" t="s">
        <v>178</v>
      </c>
      <c r="G30" s="475" t="s">
        <v>278</v>
      </c>
      <c r="H30" s="474" t="s">
        <v>279</v>
      </c>
      <c r="I30" s="474" t="s">
        <v>280</v>
      </c>
      <c r="J30" s="476" t="s">
        <v>182</v>
      </c>
      <c r="K30" s="476" t="s">
        <v>258</v>
      </c>
      <c r="L30" s="476">
        <v>50</v>
      </c>
      <c r="M30" s="450" t="str">
        <f t="shared" si="22"/>
        <v>Media</v>
      </c>
      <c r="N30" s="451">
        <f t="shared" si="15"/>
        <v>0.6</v>
      </c>
      <c r="O30" s="452" t="s">
        <v>214</v>
      </c>
      <c r="P30" s="451" t="str">
        <f>IF(NOT(ISERROR(MATCH(O30,'Tabla Impacto'!$B$222:$B$224,0))),'Tabla Impacto'!$F$224&amp;"Por favor no seleccionar los criterios de impacto(Afectación Económica o presupuestal y Pérdida Reputacional)",O30)</f>
        <v xml:space="preserve">     El riesgo afecta la imagen de la entidad con algunos usuarios de relevancia frente al logro de los objetivos</v>
      </c>
      <c r="Q30" s="453" t="s">
        <v>281</v>
      </c>
      <c r="R30" s="452">
        <f t="shared" si="0"/>
        <v>0.8</v>
      </c>
      <c r="S30" s="454" t="str">
        <f t="shared" si="1"/>
        <v>Alto</v>
      </c>
      <c r="T30" s="457">
        <v>2</v>
      </c>
      <c r="U30" s="477" t="s">
        <v>283</v>
      </c>
      <c r="V30" s="457" t="str">
        <f t="shared" si="2"/>
        <v>Probabilidad</v>
      </c>
      <c r="W30" s="458" t="s">
        <v>187</v>
      </c>
      <c r="X30" s="458" t="s">
        <v>188</v>
      </c>
      <c r="Y30" s="459" t="str">
        <f t="shared" si="3"/>
        <v>40%</v>
      </c>
      <c r="Z30" s="458" t="s">
        <v>222</v>
      </c>
      <c r="AA30" s="458" t="s">
        <v>190</v>
      </c>
      <c r="AB30" s="458" t="s">
        <v>191</v>
      </c>
      <c r="AC30" s="460">
        <f>IFERROR(IF(AND(V29="Probabilidad",V30="Probabilidad"),(AE29-(+AE29*Y30)),IF(AND(V29="Impacto",V30="Probabilidad"),(AE27-(+AE27*Y30)),IF(V30="Impacto",AE29,""))),"")</f>
        <v>6.3504000000000005E-2</v>
      </c>
      <c r="AD30" s="461" t="str">
        <f t="shared" si="4"/>
        <v>Muy Baja</v>
      </c>
      <c r="AE30" s="462">
        <f t="shared" si="5"/>
        <v>6.3504000000000005E-2</v>
      </c>
      <c r="AF30" s="461" t="str">
        <f t="shared" si="6"/>
        <v>Mayor</v>
      </c>
      <c r="AG30" s="462">
        <f>IFERROR(IF(AND(V29="Impacto",V30="Impacto"),(AG29-(+AG29*Y30)),IF(AND(V29="Probabilidad",V30="Impacto"),(AG27-(+AG27*Y30)),IF(V30="Probabilidad",AG29,""))),"")</f>
        <v>0.8</v>
      </c>
      <c r="AH30" s="463" t="str">
        <f t="shared" si="7"/>
        <v>Alto</v>
      </c>
      <c r="AI30" s="464" t="s">
        <v>192</v>
      </c>
      <c r="AJ30" s="465"/>
      <c r="AK30" s="465"/>
      <c r="AL30" s="466"/>
      <c r="AM30" s="467"/>
      <c r="AN30" s="468"/>
    </row>
    <row r="31" spans="1:40" ht="258" customHeight="1" x14ac:dyDescent="0.2">
      <c r="A31" s="478">
        <v>11</v>
      </c>
      <c r="B31" s="478" t="s">
        <v>284</v>
      </c>
      <c r="C31" s="479" t="s">
        <v>254</v>
      </c>
      <c r="D31" s="447" t="str">
        <f>IFERROR(INDEX('Base de datos gestión'!$D$28:$D$50,MATCH(C31,'Base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31" s="447" t="str">
        <f>IFERROR(INDEX('Base de datos gestión'!$E$28:$E$50,MATCH(C31,'Base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31" s="474" t="s">
        <v>178</v>
      </c>
      <c r="G31" s="475" t="s">
        <v>285</v>
      </c>
      <c r="H31" s="474" t="s">
        <v>286</v>
      </c>
      <c r="I31" s="474" t="s">
        <v>287</v>
      </c>
      <c r="J31" s="476" t="s">
        <v>182</v>
      </c>
      <c r="K31" s="476" t="s">
        <v>258</v>
      </c>
      <c r="L31" s="476">
        <v>20</v>
      </c>
      <c r="M31" s="450" t="str">
        <f t="shared" si="22"/>
        <v>Baja</v>
      </c>
      <c r="N31" s="451">
        <f t="shared" si="15"/>
        <v>0.4</v>
      </c>
      <c r="O31" s="452" t="s">
        <v>214</v>
      </c>
      <c r="P31" s="451" t="str">
        <f>IF(NOT(ISERROR(MATCH(O31,'Tabla Impacto'!$B$222:$B$224,0))),'Tabla Impacto'!$F$224&amp;"Por favor no seleccionar los criterios de impacto(Afectación Económica o presupuestal y Pérdida Reputacional)",O31)</f>
        <v xml:space="preserve">     El riesgo afecta la imagen de la entidad con algunos usuarios de relevancia frente al logro de los objetivos</v>
      </c>
      <c r="Q31" s="453" t="s">
        <v>281</v>
      </c>
      <c r="R31" s="452">
        <f t="shared" si="0"/>
        <v>0.8</v>
      </c>
      <c r="S31" s="454" t="str">
        <f t="shared" si="1"/>
        <v>Alto</v>
      </c>
      <c r="T31" s="457">
        <v>1</v>
      </c>
      <c r="U31" s="477" t="s">
        <v>288</v>
      </c>
      <c r="V31" s="457" t="str">
        <f t="shared" si="2"/>
        <v>Probabilidad</v>
      </c>
      <c r="W31" s="458" t="s">
        <v>187</v>
      </c>
      <c r="X31" s="458" t="s">
        <v>188</v>
      </c>
      <c r="Y31" s="459" t="str">
        <f t="shared" si="3"/>
        <v>40%</v>
      </c>
      <c r="Z31" s="458" t="s">
        <v>222</v>
      </c>
      <c r="AA31" s="458" t="s">
        <v>190</v>
      </c>
      <c r="AB31" s="458" t="s">
        <v>191</v>
      </c>
      <c r="AC31" s="460">
        <f>IFERROR(IF(AND(V30="Probabilidad",V31="Probabilidad"),(AE30-(+AE30*Y31)),IF(AND(V30="Impacto",V31="Probabilidad"),(AE29-(+AE29*Y31)),IF(V31="Impacto",AE30,""))),"")</f>
        <v>3.8102400000000002E-2</v>
      </c>
      <c r="AD31" s="461" t="str">
        <f t="shared" si="4"/>
        <v>Muy Baja</v>
      </c>
      <c r="AE31" s="462">
        <f t="shared" si="5"/>
        <v>3.8102400000000002E-2</v>
      </c>
      <c r="AF31" s="461" t="str">
        <f t="shared" si="6"/>
        <v>Mayor</v>
      </c>
      <c r="AG31" s="462">
        <f>IFERROR(IF(AND(V30="Impacto",V31="Impacto"),(AG30-(+AG30*Y31)),IF(AND(V30="Probabilidad",V31="Impacto"),(AG29-(+AG29*Y31)),IF(V31="Probabilidad",AG30,""))),"")</f>
        <v>0.8</v>
      </c>
      <c r="AH31" s="463" t="str">
        <f t="shared" si="7"/>
        <v>Alto</v>
      </c>
      <c r="AI31" s="464" t="s">
        <v>192</v>
      </c>
      <c r="AJ31" s="465"/>
      <c r="AK31" s="465"/>
      <c r="AL31" s="466"/>
      <c r="AM31" s="467"/>
      <c r="AN31" s="468"/>
    </row>
    <row r="32" spans="1:40" ht="237.75" customHeight="1" x14ac:dyDescent="0.2">
      <c r="A32" s="446">
        <v>11</v>
      </c>
      <c r="B32" s="446" t="s">
        <v>284</v>
      </c>
      <c r="C32" s="447" t="s">
        <v>254</v>
      </c>
      <c r="D32" s="447" t="str">
        <f>IFERROR(INDEX('Base de datos gestión'!$D$28:$D$50,MATCH(C32,'Base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32" s="447" t="str">
        <f>IFERROR(INDEX('Base de datos gestión'!$E$28:$E$50,MATCH(C32,'Base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32" s="474" t="s">
        <v>178</v>
      </c>
      <c r="G32" s="475" t="s">
        <v>285</v>
      </c>
      <c r="H32" s="474" t="s">
        <v>286</v>
      </c>
      <c r="I32" s="474" t="s">
        <v>287</v>
      </c>
      <c r="J32" s="476" t="s">
        <v>182</v>
      </c>
      <c r="K32" s="476" t="s">
        <v>258</v>
      </c>
      <c r="L32" s="476">
        <v>20</v>
      </c>
      <c r="M32" s="450" t="str">
        <f>IF(L32&lt;=0,"",IF(L32&lt;=2,"Muy Baja",IF(L32&lt;=24,"Baja",IF(L32&lt;=500,"Media",IF(L32&lt;=5000,"Alta","Muy Alta")))))</f>
        <v>Baja</v>
      </c>
      <c r="N32" s="451">
        <f t="shared" si="15"/>
        <v>0.4</v>
      </c>
      <c r="O32" s="452" t="s">
        <v>214</v>
      </c>
      <c r="P32" s="451" t="str">
        <f>IF(NOT(ISERROR(MATCH(O32,'Tabla Impacto'!$B$222:$B$224,0))),'Tabla Impacto'!$F$224&amp;"Por favor no seleccionar los criterios de impacto(Afectación Económica o presupuestal y Pérdida Reputacional)",O32)</f>
        <v xml:space="preserve">     El riesgo afecta la imagen de la entidad con algunos usuarios de relevancia frente al logro de los objetivos</v>
      </c>
      <c r="Q32" s="453" t="s">
        <v>8</v>
      </c>
      <c r="R32" s="452">
        <f t="shared" si="0"/>
        <v>0.6</v>
      </c>
      <c r="S32" s="454" t="str">
        <f t="shared" si="1"/>
        <v>Moderado</v>
      </c>
      <c r="T32" s="457">
        <v>2</v>
      </c>
      <c r="U32" s="477" t="s">
        <v>289</v>
      </c>
      <c r="V32" s="457" t="str">
        <f t="shared" si="2"/>
        <v>Probabilidad</v>
      </c>
      <c r="W32" s="458" t="s">
        <v>187</v>
      </c>
      <c r="X32" s="458" t="s">
        <v>188</v>
      </c>
      <c r="Y32" s="459" t="str">
        <f t="shared" si="3"/>
        <v>40%</v>
      </c>
      <c r="Z32" s="458" t="s">
        <v>222</v>
      </c>
      <c r="AA32" s="458" t="s">
        <v>190</v>
      </c>
      <c r="AB32" s="458" t="s">
        <v>191</v>
      </c>
      <c r="AC32" s="460">
        <f>IFERROR(IF(V32="Probabilidad",(N32-(+N32*Y32)),IF(V32="Impacto",N32,"")),"")</f>
        <v>0.24</v>
      </c>
      <c r="AD32" s="461" t="str">
        <f t="shared" si="4"/>
        <v>Baja</v>
      </c>
      <c r="AE32" s="462">
        <f t="shared" si="5"/>
        <v>0.24</v>
      </c>
      <c r="AF32" s="461" t="str">
        <f t="shared" si="6"/>
        <v>Moderado</v>
      </c>
      <c r="AG32" s="462">
        <f>IFERROR(IF(V32="Impacto",(R32-(+R32*Y32)),IF(V32="Probabilidad",R32,"")),"")</f>
        <v>0.6</v>
      </c>
      <c r="AH32" s="463" t="str">
        <f t="shared" si="7"/>
        <v>Moderado</v>
      </c>
      <c r="AI32" s="464" t="s">
        <v>192</v>
      </c>
      <c r="AJ32" s="465"/>
      <c r="AK32" s="465"/>
      <c r="AL32" s="466"/>
      <c r="AM32" s="467"/>
      <c r="AN32" s="468"/>
    </row>
    <row r="33" spans="1:40" ht="240.75" customHeight="1" x14ac:dyDescent="0.2">
      <c r="A33" s="469">
        <v>11</v>
      </c>
      <c r="B33" s="469" t="s">
        <v>284</v>
      </c>
      <c r="C33" s="470" t="s">
        <v>254</v>
      </c>
      <c r="D33" s="447" t="str">
        <f>IFERROR(INDEX('Base de datos gestión'!$D$28:$D$50,MATCH(C33,'Base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33" s="447" t="str">
        <f>IFERROR(INDEX('Base de datos gestión'!$E$28:$E$50,MATCH(C33,'Base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33" s="474" t="s">
        <v>178</v>
      </c>
      <c r="G33" s="475" t="s">
        <v>285</v>
      </c>
      <c r="H33" s="474" t="s">
        <v>286</v>
      </c>
      <c r="I33" s="474" t="s">
        <v>287</v>
      </c>
      <c r="J33" s="476" t="s">
        <v>182</v>
      </c>
      <c r="K33" s="476" t="s">
        <v>258</v>
      </c>
      <c r="L33" s="476">
        <v>20</v>
      </c>
      <c r="M33" s="450" t="str">
        <f t="shared" ref="M33:M37" si="33">IF(L33&lt;=0,"",IF(L33&lt;=2,"Muy Baja",IF(L33&lt;=24,"Baja",IF(L33&lt;=500,"Media",IF(L33&lt;=5000,"Alta","Muy Alta")))))</f>
        <v>Baja</v>
      </c>
      <c r="N33" s="451">
        <f t="shared" si="15"/>
        <v>0.4</v>
      </c>
      <c r="O33" s="452" t="s">
        <v>214</v>
      </c>
      <c r="P33" s="451" t="str">
        <f>IF(NOT(ISERROR(MATCH(O33,'Tabla Impacto'!$B$222:$B$224,0))),'Tabla Impacto'!$F$224&amp;"Por favor no seleccionar los criterios de impacto(Afectación Económica o presupuestal y Pérdida Reputacional)",O33)</f>
        <v xml:space="preserve">     El riesgo afecta la imagen de la entidad con algunos usuarios de relevancia frente al logro de los objetivos</v>
      </c>
      <c r="Q33" s="453" t="s">
        <v>8</v>
      </c>
      <c r="R33" s="452">
        <f t="shared" si="0"/>
        <v>0.6</v>
      </c>
      <c r="S33" s="454" t="str">
        <f t="shared" si="1"/>
        <v>Moderado</v>
      </c>
      <c r="T33" s="457">
        <v>3</v>
      </c>
      <c r="U33" s="477" t="s">
        <v>290</v>
      </c>
      <c r="V33" s="457" t="str">
        <f t="shared" si="2"/>
        <v>Probabilidad</v>
      </c>
      <c r="W33" s="458" t="s">
        <v>228</v>
      </c>
      <c r="X33" s="458" t="s">
        <v>188</v>
      </c>
      <c r="Y33" s="459" t="str">
        <f t="shared" si="3"/>
        <v>30%</v>
      </c>
      <c r="Z33" s="458" t="s">
        <v>222</v>
      </c>
      <c r="AA33" s="458" t="s">
        <v>190</v>
      </c>
      <c r="AB33" s="458" t="s">
        <v>191</v>
      </c>
      <c r="AC33" s="460">
        <f>IFERROR(IF(AND(V32="Probabilidad",V33="Probabilidad"),(AE32-(+AE32*Y33)),IF(V33="Probabilidad",(N32-(+N32*Y33)),IF(V33="Impacto",AE32,""))),"")</f>
        <v>0.16799999999999998</v>
      </c>
      <c r="AD33" s="461" t="str">
        <f t="shared" si="4"/>
        <v>Muy Baja</v>
      </c>
      <c r="AE33" s="462">
        <f t="shared" si="5"/>
        <v>0.16799999999999998</v>
      </c>
      <c r="AF33" s="461" t="str">
        <f t="shared" si="6"/>
        <v>Moderado</v>
      </c>
      <c r="AG33" s="462">
        <f>IFERROR(IF(AND(V32="Impacto",V33="Impacto"),(AG25-(+AG25*Y33)),IF(V33="Impacto",($R$32-(+$R$32*Y33)),IF(V33="Probabilidad",AG25,""))),"")</f>
        <v>0.6</v>
      </c>
      <c r="AH33" s="463" t="str">
        <f t="shared" si="7"/>
        <v>Moderado</v>
      </c>
      <c r="AI33" s="464" t="s">
        <v>192</v>
      </c>
      <c r="AJ33" s="465"/>
      <c r="AK33" s="465"/>
      <c r="AL33" s="466"/>
      <c r="AM33" s="467"/>
      <c r="AN33" s="468"/>
    </row>
    <row r="34" spans="1:40" ht="151.5" customHeight="1" x14ac:dyDescent="0.2">
      <c r="A34" s="469">
        <v>12</v>
      </c>
      <c r="B34" s="469" t="s">
        <v>291</v>
      </c>
      <c r="C34" s="470" t="s">
        <v>254</v>
      </c>
      <c r="D34" s="447" t="str">
        <f>IFERROR(INDEX('Base de datos gestión'!$D$28:$D$50,MATCH(C34,'Base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34" s="447" t="str">
        <f>IFERROR(INDEX('Base de datos gestión'!$E$28:$E$50,MATCH(C34,'Base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34" s="474" t="s">
        <v>178</v>
      </c>
      <c r="G34" s="475" t="s">
        <v>292</v>
      </c>
      <c r="H34" s="474" t="s">
        <v>293</v>
      </c>
      <c r="I34" s="474" t="s">
        <v>294</v>
      </c>
      <c r="J34" s="476" t="s">
        <v>182</v>
      </c>
      <c r="K34" s="476" t="s">
        <v>258</v>
      </c>
      <c r="L34" s="476">
        <v>50</v>
      </c>
      <c r="M34" s="450" t="str">
        <f t="shared" si="33"/>
        <v>Media</v>
      </c>
      <c r="N34" s="451">
        <f t="shared" si="15"/>
        <v>0.6</v>
      </c>
      <c r="O34" s="452" t="s">
        <v>207</v>
      </c>
      <c r="P34" s="451" t="str">
        <f>IF(NOT(ISERROR(MATCH(O34,'Tabla Impacto'!$B$222:$B$224,0))),'Tabla Impacto'!$F$224&amp;"Por favor no seleccionar los criterios de impacto(Afectación Económica o presupuestal y Pérdida Reputacional)",O34)</f>
        <v xml:space="preserve">     El riesgo afecta la imagen de la entidad internamente, de conocimiento general, nivel interno, de junta directiva y accionistas y/o de proveedores</v>
      </c>
      <c r="Q34" s="453" t="s">
        <v>8</v>
      </c>
      <c r="R34" s="452">
        <v>0.6</v>
      </c>
      <c r="S34" s="454" t="s">
        <v>8</v>
      </c>
      <c r="T34" s="457">
        <v>1</v>
      </c>
      <c r="U34" s="477" t="s">
        <v>295</v>
      </c>
      <c r="V34" s="457" t="str">
        <f t="shared" si="2"/>
        <v>Probabilidad</v>
      </c>
      <c r="W34" s="458" t="s">
        <v>187</v>
      </c>
      <c r="X34" s="458" t="s">
        <v>188</v>
      </c>
      <c r="Y34" s="459" t="str">
        <f t="shared" si="3"/>
        <v>40%</v>
      </c>
      <c r="Z34" s="458" t="s">
        <v>222</v>
      </c>
      <c r="AA34" s="458" t="s">
        <v>190</v>
      </c>
      <c r="AB34" s="458" t="s">
        <v>191</v>
      </c>
      <c r="AC34" s="460">
        <f>IFERROR(IF(AND(V33="Probabilidad",V34="Probabilidad"),(AE33-(+AE33*Y34)),IF(AND(V33="Impacto",V34="Probabilidad"),(AE32-(+AE32*Y34)),IF(V34="Impacto",AE33,""))),"")</f>
        <v>0.10079999999999999</v>
      </c>
      <c r="AD34" s="461" t="str">
        <f t="shared" si="4"/>
        <v>Muy Baja</v>
      </c>
      <c r="AE34" s="462">
        <f t="shared" si="5"/>
        <v>0.10079999999999999</v>
      </c>
      <c r="AF34" s="461" t="str">
        <f t="shared" si="6"/>
        <v>Moderado</v>
      </c>
      <c r="AG34" s="462">
        <f>IFERROR(IF(AND(V33="Impacto",V34="Impacto"),(AG33-(+AG33*Y34)),IF(AND(V33="Probabilidad",V34="Impacto"),(AG32-(+AG32*Y34)),IF(V34="Probabilidad",AG33,""))),"")</f>
        <v>0.6</v>
      </c>
      <c r="AH34" s="463" t="str">
        <f t="shared" si="7"/>
        <v>Moderado</v>
      </c>
      <c r="AI34" s="464" t="s">
        <v>296</v>
      </c>
      <c r="AJ34" s="465"/>
      <c r="AK34" s="465"/>
      <c r="AL34" s="466"/>
      <c r="AM34" s="467"/>
      <c r="AN34" s="468"/>
    </row>
    <row r="35" spans="1:40" ht="151.5" customHeight="1" x14ac:dyDescent="0.2">
      <c r="A35" s="469">
        <v>12</v>
      </c>
      <c r="B35" s="469" t="s">
        <v>291</v>
      </c>
      <c r="C35" s="470" t="s">
        <v>254</v>
      </c>
      <c r="D35" s="447" t="str">
        <f>IFERROR(INDEX('Base de datos gestión'!$D$28:$D$50,MATCH(C35,'Base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35" s="447" t="str">
        <f>IFERROR(INDEX('Base de datos gestión'!$E$28:$E$50,MATCH(C35,'Base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35" s="474" t="s">
        <v>178</v>
      </c>
      <c r="G35" s="475" t="s">
        <v>292</v>
      </c>
      <c r="H35" s="474" t="s">
        <v>293</v>
      </c>
      <c r="I35" s="474" t="s">
        <v>294</v>
      </c>
      <c r="J35" s="476" t="s">
        <v>182</v>
      </c>
      <c r="K35" s="476" t="s">
        <v>258</v>
      </c>
      <c r="L35" s="476">
        <v>50</v>
      </c>
      <c r="M35" s="450" t="str">
        <f t="shared" si="33"/>
        <v>Media</v>
      </c>
      <c r="N35" s="451">
        <f t="shared" si="15"/>
        <v>0.6</v>
      </c>
      <c r="O35" s="452" t="s">
        <v>207</v>
      </c>
      <c r="P35" s="451" t="str">
        <f>IF(NOT(ISERROR(MATCH(O35,'Tabla Impacto'!$B$222:$B$224,0))),'Tabla Impacto'!$F$224&amp;"Por favor no seleccionar los criterios de impacto(Afectación Económica o presupuestal y Pérdida Reputacional)",O35)</f>
        <v xml:space="preserve">     El riesgo afecta la imagen de la entidad internamente, de conocimiento general, nivel interno, de junta directiva y accionistas y/o de proveedores</v>
      </c>
      <c r="Q35" s="453" t="s">
        <v>8</v>
      </c>
      <c r="R35" s="452">
        <v>0.6</v>
      </c>
      <c r="S35" s="454" t="s">
        <v>8</v>
      </c>
      <c r="T35" s="457">
        <v>2</v>
      </c>
      <c r="U35" s="477" t="s">
        <v>297</v>
      </c>
      <c r="V35" s="457" t="str">
        <f t="shared" si="2"/>
        <v>Probabilidad</v>
      </c>
      <c r="W35" s="458" t="s">
        <v>187</v>
      </c>
      <c r="X35" s="458" t="s">
        <v>188</v>
      </c>
      <c r="Y35" s="459" t="str">
        <f t="shared" si="3"/>
        <v>40%</v>
      </c>
      <c r="Z35" s="458" t="s">
        <v>222</v>
      </c>
      <c r="AA35" s="458" t="s">
        <v>190</v>
      </c>
      <c r="AB35" s="458" t="s">
        <v>191</v>
      </c>
      <c r="AC35" s="460">
        <f>IFERROR(IF(AND(V34="Probabilidad",V35="Probabilidad"),(AE34-(+AE34*Y35)),IF(AND(V34="Impacto",V35="Probabilidad"),(AE33-(+AE33*Y35)),IF(V35="Impacto",AE34,""))),"")</f>
        <v>6.0479999999999992E-2</v>
      </c>
      <c r="AD35" s="461" t="str">
        <f t="shared" si="4"/>
        <v>Muy Baja</v>
      </c>
      <c r="AE35" s="462">
        <f t="shared" si="5"/>
        <v>6.0479999999999992E-2</v>
      </c>
      <c r="AF35" s="461" t="str">
        <f t="shared" si="6"/>
        <v>Moderado</v>
      </c>
      <c r="AG35" s="462">
        <f>IFERROR(IF(AND(V34="Impacto",V35="Impacto"),(AG34-(+AG34*Y35)),IF(AND(V34="Probabilidad",V35="Impacto"),(AG33-(+AG33*Y35)),IF(V35="Probabilidad",AG34,""))),"")</f>
        <v>0.6</v>
      </c>
      <c r="AH35" s="463" t="str">
        <f t="shared" si="7"/>
        <v>Moderado</v>
      </c>
      <c r="AI35" s="464" t="s">
        <v>296</v>
      </c>
      <c r="AJ35" s="465"/>
      <c r="AK35" s="465"/>
      <c r="AL35" s="466"/>
      <c r="AM35" s="467"/>
      <c r="AN35" s="468"/>
    </row>
    <row r="36" spans="1:40" ht="151.5" customHeight="1" x14ac:dyDescent="0.2">
      <c r="A36" s="469">
        <v>13</v>
      </c>
      <c r="B36" s="469" t="s">
        <v>298</v>
      </c>
      <c r="C36" s="470" t="s">
        <v>254</v>
      </c>
      <c r="D36" s="447" t="str">
        <f>IFERROR(INDEX('Base de datos gestión'!$D$28:$D$50,MATCH(C36,'Base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36" s="447" t="str">
        <f>IFERROR(INDEX('Base de datos gestión'!$E$28:$E$50,MATCH(C36,'Base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36" s="474" t="s">
        <v>178</v>
      </c>
      <c r="G36" s="475" t="s">
        <v>299</v>
      </c>
      <c r="H36" s="474" t="s">
        <v>300</v>
      </c>
      <c r="I36" s="474" t="s">
        <v>301</v>
      </c>
      <c r="J36" s="476" t="s">
        <v>182</v>
      </c>
      <c r="K36" s="476" t="s">
        <v>258</v>
      </c>
      <c r="L36" s="476">
        <v>25</v>
      </c>
      <c r="M36" s="450" t="str">
        <f t="shared" si="33"/>
        <v>Media</v>
      </c>
      <c r="N36" s="451">
        <f t="shared" si="15"/>
        <v>0.6</v>
      </c>
      <c r="O36" s="452" t="s">
        <v>214</v>
      </c>
      <c r="P36" s="451" t="str">
        <f>IF(NOT(ISERROR(MATCH(O36,'Tabla Impacto'!$B$222:$B$224,0))),'Tabla Impacto'!$F$224&amp;"Por favor no seleccionar los criterios de impacto(Afectación Económica o presupuestal y Pérdida Reputacional)",O36)</f>
        <v xml:space="preserve">     El riesgo afecta la imagen de la entidad con algunos usuarios de relevancia frente al logro de los objetivos</v>
      </c>
      <c r="Q36" s="453" t="s">
        <v>8</v>
      </c>
      <c r="R36" s="452">
        <f t="shared" si="0"/>
        <v>0.6</v>
      </c>
      <c r="S36" s="454" t="str">
        <f t="shared" si="1"/>
        <v>Moderado</v>
      </c>
      <c r="T36" s="457">
        <v>1</v>
      </c>
      <c r="U36" s="477" t="s">
        <v>302</v>
      </c>
      <c r="V36" s="457" t="str">
        <f t="shared" si="2"/>
        <v>Probabilidad</v>
      </c>
      <c r="W36" s="458" t="s">
        <v>187</v>
      </c>
      <c r="X36" s="458" t="s">
        <v>188</v>
      </c>
      <c r="Y36" s="459" t="str">
        <f t="shared" si="3"/>
        <v>40%</v>
      </c>
      <c r="Z36" s="458" t="s">
        <v>222</v>
      </c>
      <c r="AA36" s="458" t="s">
        <v>190</v>
      </c>
      <c r="AB36" s="458" t="s">
        <v>191</v>
      </c>
      <c r="AC36" s="488">
        <f>IFERROR(IF(AND(V35="Probabilidad",V36="Probabilidad"),(AE35-(+AE35*Y36)),IF(AND(V35="Impacto",V36="Probabilidad"),(AE34-(+AE34*Y36)),IF(V36="Impacto",AE35,""))),"")</f>
        <v>3.6287999999999994E-2</v>
      </c>
      <c r="AD36" s="461" t="str">
        <f t="shared" si="4"/>
        <v>Muy Baja</v>
      </c>
      <c r="AE36" s="462">
        <f t="shared" si="5"/>
        <v>3.6287999999999994E-2</v>
      </c>
      <c r="AF36" s="461" t="str">
        <f t="shared" si="6"/>
        <v>Moderado</v>
      </c>
      <c r="AG36" s="462">
        <f>IFERROR(IF(AND(V35="Impacto",V36="Impacto"),(AG35-(+AG35*Y36)),IF(AND(V35="Probabilidad",V36="Impacto"),(AG34-(+AG34*Y36)),IF(V36="Probabilidad",AG35,""))),"")</f>
        <v>0.6</v>
      </c>
      <c r="AH36" s="463" t="str">
        <f t="shared" si="7"/>
        <v>Moderado</v>
      </c>
      <c r="AI36" s="464" t="s">
        <v>192</v>
      </c>
      <c r="AJ36" s="465"/>
      <c r="AK36" s="465"/>
      <c r="AL36" s="466"/>
      <c r="AM36" s="467"/>
      <c r="AN36" s="468"/>
    </row>
    <row r="37" spans="1:40" ht="151.5" customHeight="1" x14ac:dyDescent="0.2">
      <c r="A37" s="478">
        <v>13</v>
      </c>
      <c r="B37" s="478" t="s">
        <v>298</v>
      </c>
      <c r="C37" s="479" t="s">
        <v>254</v>
      </c>
      <c r="D37" s="447" t="str">
        <f>IFERROR(INDEX('Base de datos gestión'!$D$28:$D$50,MATCH(C37,'Base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37" s="447" t="str">
        <f>IFERROR(INDEX('Base de datos gestión'!$E$28:$E$50,MATCH(C37,'Base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37" s="474" t="s">
        <v>178</v>
      </c>
      <c r="G37" s="475" t="s">
        <v>299</v>
      </c>
      <c r="H37" s="474" t="s">
        <v>300</v>
      </c>
      <c r="I37" s="474" t="s">
        <v>301</v>
      </c>
      <c r="J37" s="476" t="s">
        <v>182</v>
      </c>
      <c r="K37" s="476" t="s">
        <v>258</v>
      </c>
      <c r="L37" s="476">
        <v>25</v>
      </c>
      <c r="M37" s="450" t="str">
        <f t="shared" si="33"/>
        <v>Media</v>
      </c>
      <c r="N37" s="451">
        <f t="shared" si="15"/>
        <v>0.6</v>
      </c>
      <c r="O37" s="452" t="s">
        <v>214</v>
      </c>
      <c r="P37" s="451" t="str">
        <f>IF(NOT(ISERROR(MATCH(O37,'Tabla Impacto'!$B$222:$B$224,0))),'Tabla Impacto'!$F$224&amp;"Por favor no seleccionar los criterios de impacto(Afectación Económica o presupuestal y Pérdida Reputacional)",O37)</f>
        <v xml:space="preserve">     El riesgo afecta la imagen de la entidad con algunos usuarios de relevancia frente al logro de los objetivos</v>
      </c>
      <c r="Q37" s="453" t="s">
        <v>8</v>
      </c>
      <c r="R37" s="452">
        <f t="shared" si="0"/>
        <v>0.6</v>
      </c>
      <c r="S37" s="454" t="str">
        <f t="shared" si="1"/>
        <v>Moderado</v>
      </c>
      <c r="T37" s="457">
        <v>2</v>
      </c>
      <c r="U37" s="477" t="s">
        <v>303</v>
      </c>
      <c r="V37" s="457" t="str">
        <f t="shared" si="2"/>
        <v>Probabilidad</v>
      </c>
      <c r="W37" s="458" t="s">
        <v>228</v>
      </c>
      <c r="X37" s="458" t="s">
        <v>188</v>
      </c>
      <c r="Y37" s="459" t="str">
        <f t="shared" si="3"/>
        <v>30%</v>
      </c>
      <c r="Z37" s="458" t="s">
        <v>222</v>
      </c>
      <c r="AA37" s="458" t="s">
        <v>202</v>
      </c>
      <c r="AB37" s="458" t="s">
        <v>191</v>
      </c>
      <c r="AC37" s="460">
        <f>IFERROR(IF(AND(V36="Probabilidad",V37="Probabilidad"),(AE36-(+AE36*Y37)),IF(AND(V36="Impacto",V37="Probabilidad"),(AE35-(+AE35*Y37)),IF(V37="Impacto",AE36,""))),"")</f>
        <v>2.5401599999999996E-2</v>
      </c>
      <c r="AD37" s="461" t="str">
        <f t="shared" si="4"/>
        <v>Muy Baja</v>
      </c>
      <c r="AE37" s="462">
        <f t="shared" si="5"/>
        <v>2.5401599999999996E-2</v>
      </c>
      <c r="AF37" s="461" t="str">
        <f t="shared" si="6"/>
        <v>Moderado</v>
      </c>
      <c r="AG37" s="462">
        <f>IFERROR(IF(AND(V36="Impacto",V37="Impacto"),(AG36-(+AG36*Y37)),IF(AND(V36="Probabilidad",V37="Impacto"),(AG35-(+AG35*Y37)),IF(V37="Probabilidad",AG36,""))),"")</f>
        <v>0.6</v>
      </c>
      <c r="AH37" s="463" t="str">
        <f t="shared" si="7"/>
        <v>Moderado</v>
      </c>
      <c r="AI37" s="464" t="s">
        <v>192</v>
      </c>
      <c r="AJ37" s="465"/>
      <c r="AK37" s="465"/>
      <c r="AL37" s="466"/>
      <c r="AM37" s="467"/>
      <c r="AN37" s="468"/>
    </row>
    <row r="38" spans="1:40" ht="151.5" customHeight="1" x14ac:dyDescent="0.2">
      <c r="A38" s="446">
        <v>14</v>
      </c>
      <c r="B38" s="446" t="s">
        <v>304</v>
      </c>
      <c r="C38" s="447" t="s">
        <v>254</v>
      </c>
      <c r="D38" s="447" t="str">
        <f>IFERROR(INDEX('Base de datos gestión'!$D$28:$D$50,MATCH(C38,'Base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38" s="447" t="str">
        <f>IFERROR(INDEX('Base de datos gestión'!$E$28:$E$50,MATCH(C38,'Base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38" s="474" t="s">
        <v>178</v>
      </c>
      <c r="G38" s="475" t="s">
        <v>305</v>
      </c>
      <c r="H38" s="474" t="s">
        <v>306</v>
      </c>
      <c r="I38" s="474" t="s">
        <v>307</v>
      </c>
      <c r="J38" s="476" t="s">
        <v>182</v>
      </c>
      <c r="K38" s="476" t="s">
        <v>308</v>
      </c>
      <c r="L38" s="476">
        <v>25</v>
      </c>
      <c r="M38" s="450" t="str">
        <f>IF(L38&lt;=0,"",IF(L38&lt;=2,"Muy Baja",IF(L38&lt;=24,"Baja",IF(L38&lt;=500,"Media",IF(L38&lt;=5000,"Alta","Muy Alta")))))</f>
        <v>Media</v>
      </c>
      <c r="N38" s="451">
        <f t="shared" si="15"/>
        <v>0.6</v>
      </c>
      <c r="O38" s="452" t="s">
        <v>214</v>
      </c>
      <c r="P38" s="451" t="str">
        <f>IF(NOT(ISERROR(MATCH(O38,'Tabla Impacto'!$B$222:$B$224,0))),'Tabla Impacto'!$F$224&amp;"Por favor no seleccionar los criterios de impacto(Afectación Económica o presupuestal y Pérdida Reputacional)",O38)</f>
        <v xml:space="preserve">     El riesgo afecta la imagen de la entidad con algunos usuarios de relevancia frente al logro de los objetivos</v>
      </c>
      <c r="Q38" s="453" t="s">
        <v>8</v>
      </c>
      <c r="R38" s="452">
        <f t="shared" si="0"/>
        <v>0.6</v>
      </c>
      <c r="S38" s="454" t="str">
        <f t="shared" si="1"/>
        <v>Moderado</v>
      </c>
      <c r="T38" s="457">
        <v>1</v>
      </c>
      <c r="U38" s="477" t="s">
        <v>309</v>
      </c>
      <c r="V38" s="457" t="str">
        <f t="shared" si="2"/>
        <v>Probabilidad</v>
      </c>
      <c r="W38" s="458" t="s">
        <v>187</v>
      </c>
      <c r="X38" s="458" t="s">
        <v>188</v>
      </c>
      <c r="Y38" s="459" t="str">
        <f t="shared" si="3"/>
        <v>40%</v>
      </c>
      <c r="Z38" s="458" t="s">
        <v>189</v>
      </c>
      <c r="AA38" s="458" t="s">
        <v>202</v>
      </c>
      <c r="AB38" s="458" t="s">
        <v>216</v>
      </c>
      <c r="AC38" s="460">
        <f>IFERROR(IF(V38="Probabilidad",(N38-(+N38*Y38)),IF(V38="Impacto",N38,"")),"")</f>
        <v>0.36</v>
      </c>
      <c r="AD38" s="461" t="str">
        <f t="shared" si="4"/>
        <v>Baja</v>
      </c>
      <c r="AE38" s="462">
        <f t="shared" si="5"/>
        <v>0.36</v>
      </c>
      <c r="AF38" s="461" t="str">
        <f t="shared" si="6"/>
        <v>Moderado</v>
      </c>
      <c r="AG38" s="462">
        <f>IFERROR(IF(V38="Impacto",(R38-(+R38*Y38)),IF(V38="Probabilidad",R38,"")),"")</f>
        <v>0.6</v>
      </c>
      <c r="AH38" s="463" t="str">
        <f t="shared" si="7"/>
        <v>Moderado</v>
      </c>
      <c r="AI38" s="464" t="s">
        <v>192</v>
      </c>
      <c r="AJ38" s="465"/>
      <c r="AK38" s="465"/>
      <c r="AL38" s="466"/>
      <c r="AM38" s="467"/>
      <c r="AN38" s="468"/>
    </row>
    <row r="39" spans="1:40" ht="151.5" customHeight="1" x14ac:dyDescent="0.2">
      <c r="A39" s="469">
        <v>14</v>
      </c>
      <c r="B39" s="469" t="s">
        <v>304</v>
      </c>
      <c r="C39" s="470" t="s">
        <v>254</v>
      </c>
      <c r="D39" s="447" t="str">
        <f>IFERROR(INDEX('Base de datos gestión'!$D$28:$D$50,MATCH(C39,'Base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39" s="447" t="str">
        <f>IFERROR(INDEX('Base de datos gestión'!$E$28:$E$50,MATCH(C39,'Base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39" s="474" t="s">
        <v>178</v>
      </c>
      <c r="G39" s="475" t="s">
        <v>305</v>
      </c>
      <c r="H39" s="474" t="s">
        <v>306</v>
      </c>
      <c r="I39" s="474" t="s">
        <v>307</v>
      </c>
      <c r="J39" s="476" t="s">
        <v>182</v>
      </c>
      <c r="K39" s="476" t="s">
        <v>308</v>
      </c>
      <c r="L39" s="476">
        <v>25</v>
      </c>
      <c r="M39" s="450" t="str">
        <f>IF(L39&lt;=0,"",IF(L39&lt;=2,"Muy Baja",IF(L39&lt;=24,"Baja",IF(L39&lt;=500,"Media",IF(L39&lt;=5000,"Alta","Muy Alta")))))</f>
        <v>Media</v>
      </c>
      <c r="N39" s="451">
        <f t="shared" si="15"/>
        <v>0.6</v>
      </c>
      <c r="O39" s="452" t="s">
        <v>214</v>
      </c>
      <c r="P39" s="451" t="str">
        <f>IF(NOT(ISERROR(MATCH(O39,'Tabla Impacto'!$B$222:$B$224,0))),'Tabla Impacto'!$F$224&amp;"Por favor no seleccionar los criterios de impacto(Afectación Económica o presupuestal y Pérdida Reputacional)",O39)</f>
        <v xml:space="preserve">     El riesgo afecta la imagen de la entidad con algunos usuarios de relevancia frente al logro de los objetivos</v>
      </c>
      <c r="Q39" s="453" t="s">
        <v>8</v>
      </c>
      <c r="R39" s="452">
        <f t="shared" si="0"/>
        <v>0.6</v>
      </c>
      <c r="S39" s="454" t="str">
        <f t="shared" si="1"/>
        <v>Moderado</v>
      </c>
      <c r="T39" s="457">
        <v>2</v>
      </c>
      <c r="U39" s="477" t="s">
        <v>302</v>
      </c>
      <c r="V39" s="457" t="str">
        <f t="shared" si="2"/>
        <v>Probabilidad</v>
      </c>
      <c r="W39" s="458" t="s">
        <v>187</v>
      </c>
      <c r="X39" s="458" t="s">
        <v>188</v>
      </c>
      <c r="Y39" s="459" t="str">
        <f t="shared" si="3"/>
        <v>40%</v>
      </c>
      <c r="Z39" s="458" t="s">
        <v>222</v>
      </c>
      <c r="AA39" s="458" t="s">
        <v>190</v>
      </c>
      <c r="AB39" s="458" t="s">
        <v>191</v>
      </c>
      <c r="AC39" s="460">
        <f>IFERROR(IF(AND(V38="Probabilidad",V39="Probabilidad"),(AE38-(+AE38*Y39)),IF(V39="Probabilidad",(N38-(+N38*Y39)),IF(V39="Impacto",AE38,""))),"")</f>
        <v>0.216</v>
      </c>
      <c r="AD39" s="461" t="str">
        <f t="shared" si="4"/>
        <v>Baja</v>
      </c>
      <c r="AE39" s="462">
        <f t="shared" si="5"/>
        <v>0.216</v>
      </c>
      <c r="AF39" s="461" t="str">
        <f t="shared" si="6"/>
        <v>Moderado</v>
      </c>
      <c r="AG39" s="462">
        <f>IFERROR(IF(AND(V38="Impacto",V39="Impacto"),(AG32-(+AG32*Y39)),IF(V39="Impacto",($R$38-(+$R$38*Y39)),IF(V39="Probabilidad",AG32,""))),"")</f>
        <v>0.6</v>
      </c>
      <c r="AH39" s="463" t="str">
        <f t="shared" si="7"/>
        <v>Moderado</v>
      </c>
      <c r="AI39" s="464" t="s">
        <v>192</v>
      </c>
      <c r="AJ39" s="465"/>
      <c r="AK39" s="465"/>
      <c r="AL39" s="466"/>
      <c r="AM39" s="467"/>
      <c r="AN39" s="468"/>
    </row>
    <row r="40" spans="1:40" ht="151.5" customHeight="1" x14ac:dyDescent="0.2">
      <c r="A40" s="469">
        <v>15</v>
      </c>
      <c r="B40" s="469" t="s">
        <v>310</v>
      </c>
      <c r="C40" s="470" t="s">
        <v>254</v>
      </c>
      <c r="D40" s="447" t="str">
        <f>IFERROR(INDEX('Base de datos gestión'!$D$28:$D$50,MATCH(C40,'Base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40" s="447" t="str">
        <f>IFERROR(INDEX('Base de datos gestión'!$E$28:$E$50,MATCH(C40,'Base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40" s="474" t="s">
        <v>178</v>
      </c>
      <c r="G40" s="475" t="s">
        <v>311</v>
      </c>
      <c r="H40" s="474" t="s">
        <v>312</v>
      </c>
      <c r="I40" s="474" t="s">
        <v>313</v>
      </c>
      <c r="J40" s="476" t="s">
        <v>182</v>
      </c>
      <c r="K40" s="476" t="s">
        <v>258</v>
      </c>
      <c r="L40" s="476">
        <v>100</v>
      </c>
      <c r="M40" s="450" t="str">
        <f t="shared" ref="M40:M43" si="34">IF(L40&lt;=0,"",IF(L40&lt;=2,"Muy Baja",IF(L40&lt;=24,"Baja",IF(L40&lt;=500,"Media",IF(L40&lt;=5000,"Alta","Muy Alta")))))</f>
        <v>Media</v>
      </c>
      <c r="N40" s="451">
        <f t="shared" si="15"/>
        <v>0.6</v>
      </c>
      <c r="O40" s="452" t="s">
        <v>214</v>
      </c>
      <c r="P40" s="451" t="str">
        <f>IF(NOT(ISERROR(MATCH(O40,'Tabla Impacto'!$B$222:$B$224,0))),'Tabla Impacto'!$F$224&amp;"Por favor no seleccionar los criterios de impacto(Afectación Económica o presupuestal y Pérdida Reputacional)",O40)</f>
        <v xml:space="preserve">     El riesgo afecta la imagen de la entidad con algunos usuarios de relevancia frente al logro de los objetivos</v>
      </c>
      <c r="Q40" s="453" t="s">
        <v>8</v>
      </c>
      <c r="R40" s="452">
        <f t="shared" si="0"/>
        <v>0.6</v>
      </c>
      <c r="S40" s="454" t="str">
        <f t="shared" si="1"/>
        <v>Moderado</v>
      </c>
      <c r="T40" s="457">
        <v>1</v>
      </c>
      <c r="U40" s="477" t="s">
        <v>314</v>
      </c>
      <c r="V40" s="457" t="str">
        <f t="shared" si="2"/>
        <v>Probabilidad</v>
      </c>
      <c r="W40" s="458" t="s">
        <v>228</v>
      </c>
      <c r="X40" s="458" t="s">
        <v>188</v>
      </c>
      <c r="Y40" s="459" t="str">
        <f t="shared" si="3"/>
        <v>30%</v>
      </c>
      <c r="Z40" s="458" t="s">
        <v>222</v>
      </c>
      <c r="AA40" s="458" t="s">
        <v>190</v>
      </c>
      <c r="AB40" s="458" t="s">
        <v>191</v>
      </c>
      <c r="AC40" s="460">
        <f>IFERROR(IF(AND(V39="Probabilidad",V40="Probabilidad"),(AE39-(+AE39*Y40)),IF(AND(V39="Impacto",V40="Probabilidad"),(AE38-(+AE38*Y40)),IF(V40="Impacto",AE39,""))),"")</f>
        <v>0.1512</v>
      </c>
      <c r="AD40" s="461" t="str">
        <f t="shared" si="4"/>
        <v>Muy Baja</v>
      </c>
      <c r="AE40" s="462">
        <f t="shared" si="5"/>
        <v>0.1512</v>
      </c>
      <c r="AF40" s="461" t="str">
        <f t="shared" si="6"/>
        <v>Moderado</v>
      </c>
      <c r="AG40" s="462">
        <f>IFERROR(IF(AND(V39="Impacto",V40="Impacto"),(AG39-(+AG39*Y40)),IF(AND(V39="Probabilidad",V40="Impacto"),(AG38-(+AG38*Y40)),IF(V40="Probabilidad",AG39,""))),"")</f>
        <v>0.6</v>
      </c>
      <c r="AH40" s="463" t="str">
        <f t="shared" si="7"/>
        <v>Moderado</v>
      </c>
      <c r="AI40" s="464" t="s">
        <v>192</v>
      </c>
      <c r="AJ40" s="465"/>
      <c r="AK40" s="465"/>
      <c r="AL40" s="466"/>
      <c r="AM40" s="467"/>
      <c r="AN40" s="468"/>
    </row>
    <row r="41" spans="1:40" ht="151.5" customHeight="1" x14ac:dyDescent="0.2">
      <c r="A41" s="469">
        <v>15</v>
      </c>
      <c r="B41" s="469" t="s">
        <v>310</v>
      </c>
      <c r="C41" s="470" t="s">
        <v>254</v>
      </c>
      <c r="D41" s="447" t="str">
        <f>IFERROR(INDEX('Base de datos gestión'!$D$28:$D$50,MATCH(C41,'Base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41" s="447" t="str">
        <f>IFERROR(INDEX('Base de datos gestión'!$E$28:$E$50,MATCH(C41,'Base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41" s="474" t="s">
        <v>178</v>
      </c>
      <c r="G41" s="475" t="s">
        <v>311</v>
      </c>
      <c r="H41" s="474" t="s">
        <v>312</v>
      </c>
      <c r="I41" s="474" t="s">
        <v>313</v>
      </c>
      <c r="J41" s="476" t="s">
        <v>182</v>
      </c>
      <c r="K41" s="476" t="s">
        <v>258</v>
      </c>
      <c r="L41" s="476">
        <v>100</v>
      </c>
      <c r="M41" s="450" t="str">
        <f t="shared" si="34"/>
        <v>Media</v>
      </c>
      <c r="N41" s="451">
        <f t="shared" si="15"/>
        <v>0.6</v>
      </c>
      <c r="O41" s="452" t="s">
        <v>214</v>
      </c>
      <c r="P41" s="451" t="str">
        <f>IF(NOT(ISERROR(MATCH(O41,'Tabla Impacto'!$B$222:$B$224,0))),'Tabla Impacto'!$F$224&amp;"Por favor no seleccionar los criterios de impacto(Afectación Económica o presupuestal y Pérdida Reputacional)",O41)</f>
        <v xml:space="preserve">     El riesgo afecta la imagen de la entidad con algunos usuarios de relevancia frente al logro de los objetivos</v>
      </c>
      <c r="Q41" s="453" t="s">
        <v>8</v>
      </c>
      <c r="R41" s="452">
        <f t="shared" si="0"/>
        <v>0.6</v>
      </c>
      <c r="S41" s="454" t="str">
        <f t="shared" si="1"/>
        <v>Moderado</v>
      </c>
      <c r="T41" s="457">
        <v>2</v>
      </c>
      <c r="U41" s="477" t="s">
        <v>315</v>
      </c>
      <c r="V41" s="457" t="str">
        <f t="shared" si="2"/>
        <v>Probabilidad</v>
      </c>
      <c r="W41" s="458" t="s">
        <v>228</v>
      </c>
      <c r="X41" s="458" t="s">
        <v>188</v>
      </c>
      <c r="Y41" s="459" t="str">
        <f t="shared" si="3"/>
        <v>30%</v>
      </c>
      <c r="Z41" s="458" t="s">
        <v>222</v>
      </c>
      <c r="AA41" s="458" t="s">
        <v>190</v>
      </c>
      <c r="AB41" s="458" t="s">
        <v>191</v>
      </c>
      <c r="AC41" s="460">
        <f>IFERROR(IF(AND(V40="Probabilidad",V41="Probabilidad"),(AE40-(+AE40*Y41)),IF(AND(V40="Impacto",V41="Probabilidad"),(AE39-(+AE39*Y41)),IF(V41="Impacto",AE40,""))),"")</f>
        <v>0.10584</v>
      </c>
      <c r="AD41" s="461" t="str">
        <f t="shared" si="4"/>
        <v>Muy Baja</v>
      </c>
      <c r="AE41" s="462">
        <f t="shared" si="5"/>
        <v>0.10584</v>
      </c>
      <c r="AF41" s="461" t="str">
        <f t="shared" si="6"/>
        <v>Moderado</v>
      </c>
      <c r="AG41" s="462">
        <f>IFERROR(IF(AND(V40="Impacto",V41="Impacto"),(AG40-(+AG40*Y41)),IF(AND(V40="Probabilidad",V41="Impacto"),(AG39-(+AG39*Y41)),IF(V41="Probabilidad",AG40,""))),"")</f>
        <v>0.6</v>
      </c>
      <c r="AH41" s="463" t="str">
        <f t="shared" si="7"/>
        <v>Moderado</v>
      </c>
      <c r="AI41" s="464" t="s">
        <v>192</v>
      </c>
      <c r="AJ41" s="465"/>
      <c r="AK41" s="465"/>
      <c r="AL41" s="466"/>
      <c r="AM41" s="467"/>
      <c r="AN41" s="468"/>
    </row>
    <row r="42" spans="1:40" ht="151.5" customHeight="1" x14ac:dyDescent="0.2">
      <c r="A42" s="469">
        <v>16</v>
      </c>
      <c r="B42" s="469" t="s">
        <v>316</v>
      </c>
      <c r="C42" s="470" t="s">
        <v>254</v>
      </c>
      <c r="D42" s="447" t="str">
        <f>IFERROR(INDEX('Base de datos gestión'!$D$28:$D$50,MATCH(C42,'Base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42" s="447" t="str">
        <f>IFERROR(INDEX('Base de datos gestión'!$E$28:$E$50,MATCH(C42,'Base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42" s="474" t="s">
        <v>178</v>
      </c>
      <c r="G42" s="475" t="s">
        <v>317</v>
      </c>
      <c r="H42" s="474" t="s">
        <v>318</v>
      </c>
      <c r="I42" s="474" t="s">
        <v>319</v>
      </c>
      <c r="J42" s="476" t="s">
        <v>182</v>
      </c>
      <c r="K42" s="476" t="s">
        <v>320</v>
      </c>
      <c r="L42" s="476">
        <v>10</v>
      </c>
      <c r="M42" s="450" t="str">
        <f t="shared" si="34"/>
        <v>Baja</v>
      </c>
      <c r="N42" s="451">
        <f t="shared" si="15"/>
        <v>0.4</v>
      </c>
      <c r="O42" s="452" t="s">
        <v>214</v>
      </c>
      <c r="P42" s="451" t="str">
        <f>IF(NOT(ISERROR(MATCH(O42,'Tabla Impacto'!$B$222:$B$224,0))),'Tabla Impacto'!$F$224&amp;"Por favor no seleccionar los criterios de impacto(Afectación Económica o presupuestal y Pérdida Reputacional)",O42)</f>
        <v xml:space="preserve">     El riesgo afecta la imagen de la entidad con algunos usuarios de relevancia frente al logro de los objetivos</v>
      </c>
      <c r="Q42" s="453" t="s">
        <v>8</v>
      </c>
      <c r="R42" s="452">
        <f t="shared" si="0"/>
        <v>0.6</v>
      </c>
      <c r="S42" s="454" t="str">
        <f t="shared" si="1"/>
        <v>Moderado</v>
      </c>
      <c r="T42" s="457">
        <v>1</v>
      </c>
      <c r="U42" s="477" t="s">
        <v>321</v>
      </c>
      <c r="V42" s="457" t="str">
        <f t="shared" si="2"/>
        <v>Probabilidad</v>
      </c>
      <c r="W42" s="458" t="s">
        <v>187</v>
      </c>
      <c r="X42" s="458" t="s">
        <v>188</v>
      </c>
      <c r="Y42" s="459" t="str">
        <f t="shared" si="3"/>
        <v>40%</v>
      </c>
      <c r="Z42" s="458" t="s">
        <v>222</v>
      </c>
      <c r="AA42" s="458" t="s">
        <v>190</v>
      </c>
      <c r="AB42" s="458" t="s">
        <v>191</v>
      </c>
      <c r="AC42" s="460">
        <f>IFERROR(IF(AND(V41="Probabilidad",V42="Probabilidad"),(AE41-(+AE41*Y42)),IF(AND(V41="Impacto",V42="Probabilidad"),(AE40-(+AE40*Y42)),IF(V42="Impacto",AE41,""))),"")</f>
        <v>6.3504000000000005E-2</v>
      </c>
      <c r="AD42" s="461" t="str">
        <f t="shared" si="4"/>
        <v>Muy Baja</v>
      </c>
      <c r="AE42" s="462">
        <f t="shared" si="5"/>
        <v>6.3504000000000005E-2</v>
      </c>
      <c r="AF42" s="461" t="str">
        <f t="shared" si="6"/>
        <v>Moderado</v>
      </c>
      <c r="AG42" s="462">
        <f>IFERROR(IF(AND(V41="Impacto",V42="Impacto"),(AG41-(+AG41*Y42)),IF(AND(V41="Probabilidad",V42="Impacto"),(AG40-(+AG40*Y42)),IF(V42="Probabilidad",AG41,""))),"")</f>
        <v>0.6</v>
      </c>
      <c r="AH42" s="463" t="str">
        <f t="shared" si="7"/>
        <v>Moderado</v>
      </c>
      <c r="AI42" s="464" t="s">
        <v>192</v>
      </c>
      <c r="AJ42" s="465"/>
      <c r="AK42" s="465"/>
      <c r="AL42" s="466"/>
      <c r="AM42" s="467"/>
      <c r="AN42" s="468"/>
    </row>
    <row r="43" spans="1:40" ht="151.5" customHeight="1" x14ac:dyDescent="0.2">
      <c r="A43" s="478">
        <v>16</v>
      </c>
      <c r="B43" s="478" t="s">
        <v>316</v>
      </c>
      <c r="C43" s="479" t="s">
        <v>254</v>
      </c>
      <c r="D43" s="447" t="str">
        <f>IFERROR(INDEX('Base de datos gestión'!$D$28:$D$50,MATCH(C43,'Base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43" s="447" t="str">
        <f>IFERROR(INDEX('Base de datos gestión'!$E$28:$E$50,MATCH(C43,'Base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43" s="474" t="s">
        <v>178</v>
      </c>
      <c r="G43" s="475" t="s">
        <v>317</v>
      </c>
      <c r="H43" s="474" t="s">
        <v>318</v>
      </c>
      <c r="I43" s="474" t="s">
        <v>319</v>
      </c>
      <c r="J43" s="476" t="s">
        <v>182</v>
      </c>
      <c r="K43" s="476" t="s">
        <v>320</v>
      </c>
      <c r="L43" s="476">
        <v>10</v>
      </c>
      <c r="M43" s="450" t="str">
        <f t="shared" si="34"/>
        <v>Baja</v>
      </c>
      <c r="N43" s="451">
        <f t="shared" si="15"/>
        <v>0.4</v>
      </c>
      <c r="O43" s="452" t="s">
        <v>214</v>
      </c>
      <c r="P43" s="451" t="str">
        <f>IF(NOT(ISERROR(MATCH(O43,'Tabla Impacto'!$B$222:$B$224,0))),'Tabla Impacto'!$F$224&amp;"Por favor no seleccionar los criterios de impacto(Afectación Económica o presupuestal y Pérdida Reputacional)",O43)</f>
        <v xml:space="preserve">     El riesgo afecta la imagen de la entidad con algunos usuarios de relevancia frente al logro de los objetivos</v>
      </c>
      <c r="Q43" s="453" t="s">
        <v>8</v>
      </c>
      <c r="R43" s="452">
        <f t="shared" si="0"/>
        <v>0.6</v>
      </c>
      <c r="S43" s="454" t="str">
        <f t="shared" si="1"/>
        <v>Moderado</v>
      </c>
      <c r="T43" s="457">
        <v>2</v>
      </c>
      <c r="U43" s="477" t="s">
        <v>322</v>
      </c>
      <c r="V43" s="457" t="str">
        <f t="shared" si="2"/>
        <v>Probabilidad</v>
      </c>
      <c r="W43" s="458" t="s">
        <v>228</v>
      </c>
      <c r="X43" s="458" t="s">
        <v>188</v>
      </c>
      <c r="Y43" s="459" t="str">
        <f t="shared" si="3"/>
        <v>30%</v>
      </c>
      <c r="Z43" s="458" t="s">
        <v>222</v>
      </c>
      <c r="AA43" s="458" t="s">
        <v>190</v>
      </c>
      <c r="AB43" s="458" t="s">
        <v>191</v>
      </c>
      <c r="AC43" s="460">
        <f>IFERROR(IF(AND(V42="Probabilidad",V43="Probabilidad"),(AE42-(+AE42*Y43)),IF(AND(V42="Impacto",V43="Probabilidad"),(AE41-(+AE41*Y43)),IF(V43="Impacto",AE42,""))),"")</f>
        <v>4.4452800000000001E-2</v>
      </c>
      <c r="AD43" s="461" t="str">
        <f t="shared" si="4"/>
        <v>Muy Baja</v>
      </c>
      <c r="AE43" s="462">
        <f t="shared" si="5"/>
        <v>4.4452800000000001E-2</v>
      </c>
      <c r="AF43" s="461" t="str">
        <f t="shared" si="6"/>
        <v>Moderado</v>
      </c>
      <c r="AG43" s="462">
        <f>IFERROR(IF(AND(V42="Impacto",V43="Impacto"),(AG42-(+AG42*Y43)),IF(AND(V42="Probabilidad",V43="Impacto"),(AG41-(+AG41*Y43)),IF(V43="Probabilidad",AG42,""))),"")</f>
        <v>0.6</v>
      </c>
      <c r="AH43" s="463" t="str">
        <f t="shared" si="7"/>
        <v>Moderado</v>
      </c>
      <c r="AI43" s="464" t="s">
        <v>192</v>
      </c>
      <c r="AJ43" s="465"/>
      <c r="AK43" s="465"/>
      <c r="AL43" s="466"/>
      <c r="AM43" s="467"/>
      <c r="AN43" s="468"/>
    </row>
    <row r="44" spans="1:40" ht="151.5" customHeight="1" x14ac:dyDescent="0.2">
      <c r="A44" s="446">
        <v>17</v>
      </c>
      <c r="B44" s="446" t="s">
        <v>323</v>
      </c>
      <c r="C44" s="447" t="s">
        <v>254</v>
      </c>
      <c r="D44" s="447" t="str">
        <f>IFERROR(INDEX('Base de datos gestión'!$D$28:$D$50,MATCH(C44,'Base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44" s="447" t="str">
        <f>IFERROR(INDEX('Base de datos gestión'!$E$28:$E$50,MATCH(C44,'Base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44" s="476" t="s">
        <v>178</v>
      </c>
      <c r="G44" s="475" t="s">
        <v>324</v>
      </c>
      <c r="H44" s="476" t="s">
        <v>325</v>
      </c>
      <c r="I44" s="476" t="s">
        <v>257</v>
      </c>
      <c r="J44" s="476" t="s">
        <v>182</v>
      </c>
      <c r="K44" s="476" t="s">
        <v>258</v>
      </c>
      <c r="L44" s="476">
        <v>1000</v>
      </c>
      <c r="M44" s="450" t="str">
        <f>IF(L44&lt;=0,"",IF(L44&lt;=2,"Muy Baja",IF(L44&lt;=24,"Baja",IF(L44&lt;=500,"Media",IF(L44&lt;=5000,"Alta","Muy Alta")))))</f>
        <v>Alta</v>
      </c>
      <c r="N44" s="451">
        <f t="shared" si="15"/>
        <v>0.8</v>
      </c>
      <c r="O44" s="452" t="s">
        <v>214</v>
      </c>
      <c r="P44" s="451" t="str">
        <f>IF(NOT(ISERROR(MATCH(O44,'Tabla Impacto'!$B$222:$B$224,0))),'Tabla Impacto'!$F$224&amp;"Por favor no seleccionar los criterios de impacto(Afectación Económica o presupuestal y Pérdida Reputacional)",O44)</f>
        <v xml:space="preserve">     El riesgo afecta la imagen de la entidad con algunos usuarios de relevancia frente al logro de los objetivos</v>
      </c>
      <c r="Q44" s="453" t="s">
        <v>8</v>
      </c>
      <c r="R44" s="452">
        <f t="shared" si="0"/>
        <v>0.6</v>
      </c>
      <c r="S44" s="454" t="str">
        <f t="shared" si="1"/>
        <v>Alto</v>
      </c>
      <c r="T44" s="457">
        <v>1</v>
      </c>
      <c r="U44" s="477" t="s">
        <v>326</v>
      </c>
      <c r="V44" s="457" t="str">
        <f t="shared" si="2"/>
        <v>Probabilidad</v>
      </c>
      <c r="W44" s="458" t="s">
        <v>187</v>
      </c>
      <c r="X44" s="458" t="s">
        <v>188</v>
      </c>
      <c r="Y44" s="459" t="str">
        <f t="shared" si="3"/>
        <v>40%</v>
      </c>
      <c r="Z44" s="458" t="s">
        <v>222</v>
      </c>
      <c r="AA44" s="458" t="s">
        <v>190</v>
      </c>
      <c r="AB44" s="458" t="s">
        <v>191</v>
      </c>
      <c r="AC44" s="460">
        <f>IFERROR(IF(V44="Probabilidad",(N44-(+N44*Y44)),IF(V44="Impacto",N44,"")),"")</f>
        <v>0.48</v>
      </c>
      <c r="AD44" s="461" t="str">
        <f t="shared" si="4"/>
        <v>Media</v>
      </c>
      <c r="AE44" s="462">
        <f t="shared" si="5"/>
        <v>0.48</v>
      </c>
      <c r="AF44" s="461" t="str">
        <f t="shared" si="6"/>
        <v>Moderado</v>
      </c>
      <c r="AG44" s="462">
        <f>IFERROR(IF(V44="Impacto",(R44-(+R44*Y44)),IF(V44="Probabilidad",R44,"")),"")</f>
        <v>0.6</v>
      </c>
      <c r="AH44" s="463" t="str">
        <f t="shared" si="7"/>
        <v>Moderado</v>
      </c>
      <c r="AI44" s="464" t="s">
        <v>192</v>
      </c>
      <c r="AJ44" s="465"/>
      <c r="AK44" s="465"/>
      <c r="AL44" s="466"/>
      <c r="AM44" s="467"/>
      <c r="AN44" s="468"/>
    </row>
    <row r="45" spans="1:40" ht="151.5" customHeight="1" x14ac:dyDescent="0.2">
      <c r="A45" s="469">
        <v>18</v>
      </c>
      <c r="B45" s="469" t="s">
        <v>327</v>
      </c>
      <c r="C45" s="470" t="s">
        <v>254</v>
      </c>
      <c r="D45" s="447" t="str">
        <f>IFERROR(INDEX('Base de datos gestión'!$D$28:$D$50,MATCH(C45,'Base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45" s="447" t="str">
        <f>IFERROR(INDEX('Base de datos gestión'!$E$28:$E$50,MATCH(C45,'Base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45" s="474" t="s">
        <v>178</v>
      </c>
      <c r="G45" s="475" t="s">
        <v>328</v>
      </c>
      <c r="H45" s="474" t="s">
        <v>329</v>
      </c>
      <c r="I45" s="474" t="s">
        <v>330</v>
      </c>
      <c r="J45" s="476" t="s">
        <v>182</v>
      </c>
      <c r="K45" s="476" t="s">
        <v>331</v>
      </c>
      <c r="L45" s="476">
        <v>2</v>
      </c>
      <c r="M45" s="450" t="str">
        <f>IF(L45&lt;=0,"",IF(L45&lt;=2,"Muy Baja",IF(L45&lt;=24,"Baja",IF(L45&lt;=500,"Media",IF(L45&lt;=5000,"Alta","Muy Alta")))))</f>
        <v>Muy Baja</v>
      </c>
      <c r="N45" s="451">
        <f t="shared" si="15"/>
        <v>0.2</v>
      </c>
      <c r="O45" s="452" t="s">
        <v>332</v>
      </c>
      <c r="P45" s="451" t="str">
        <f>IF(NOT(ISERROR(MATCH(O45,'Tabla Impacto'!$B$222:$B$224,0))),'Tabla Impacto'!$F$224&amp;"Por favor no seleccionar los criterios de impacto(Afectación Económica o presupuestal y Pérdida Reputacional)",O45)</f>
        <v xml:space="preserve">     El riesgo afecta la imagen de alguna área de la organización</v>
      </c>
      <c r="Q45" s="453" t="s">
        <v>8</v>
      </c>
      <c r="R45" s="452">
        <f t="shared" si="0"/>
        <v>0.6</v>
      </c>
      <c r="S45" s="454" t="str">
        <f t="shared" si="1"/>
        <v>Moderado</v>
      </c>
      <c r="T45" s="457">
        <v>1</v>
      </c>
      <c r="U45" s="477" t="s">
        <v>333</v>
      </c>
      <c r="V45" s="457" t="str">
        <f t="shared" si="2"/>
        <v>Probabilidad</v>
      </c>
      <c r="W45" s="458" t="s">
        <v>228</v>
      </c>
      <c r="X45" s="458" t="s">
        <v>188</v>
      </c>
      <c r="Y45" s="459" t="str">
        <f t="shared" si="3"/>
        <v>30%</v>
      </c>
      <c r="Z45" s="458" t="s">
        <v>222</v>
      </c>
      <c r="AA45" s="458" t="s">
        <v>190</v>
      </c>
      <c r="AB45" s="458" t="s">
        <v>191</v>
      </c>
      <c r="AC45" s="460">
        <f>IFERROR(IF(AND(V44="Probabilidad",V45="Probabilidad"),(AE44-(+AE44*Y45)),IF(V45="Probabilidad",(N44-(+N44*Y45)),IF(V45="Impacto",AE44,""))),"")</f>
        <v>0.33599999999999997</v>
      </c>
      <c r="AD45" s="461" t="str">
        <f t="shared" si="4"/>
        <v>Baja</v>
      </c>
      <c r="AE45" s="462">
        <f t="shared" si="5"/>
        <v>0.33599999999999997</v>
      </c>
      <c r="AF45" s="461" t="str">
        <f t="shared" si="6"/>
        <v>Moderado</v>
      </c>
      <c r="AG45" s="462">
        <f>IFERROR(IF(AND(V44="Impacto",V45="Impacto"),(AG38-(+AG38*Y45)),IF(V45="Impacto",($R$44-(+$R$44*Y45)),IF(V45="Probabilidad",AG38,""))),"")</f>
        <v>0.6</v>
      </c>
      <c r="AH45" s="463" t="str">
        <f t="shared" si="7"/>
        <v>Moderado</v>
      </c>
      <c r="AI45" s="464" t="s">
        <v>296</v>
      </c>
      <c r="AJ45" s="465"/>
      <c r="AK45" s="465"/>
      <c r="AL45" s="466"/>
      <c r="AM45" s="467"/>
      <c r="AN45" s="468"/>
    </row>
    <row r="46" spans="1:40" ht="151.5" customHeight="1" x14ac:dyDescent="0.2">
      <c r="A46" s="469">
        <v>18</v>
      </c>
      <c r="B46" s="469" t="s">
        <v>327</v>
      </c>
      <c r="C46" s="470" t="s">
        <v>254</v>
      </c>
      <c r="D46" s="447" t="str">
        <f>IFERROR(INDEX('Base de datos gestión'!$D$28:$D$50,MATCH(C46,'Base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46" s="447" t="str">
        <f>IFERROR(INDEX('Base de datos gestión'!$E$28:$E$50,MATCH(C46,'Base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46" s="474" t="s">
        <v>178</v>
      </c>
      <c r="G46" s="475" t="s">
        <v>328</v>
      </c>
      <c r="H46" s="474" t="s">
        <v>329</v>
      </c>
      <c r="I46" s="474" t="s">
        <v>330</v>
      </c>
      <c r="J46" s="476" t="s">
        <v>182</v>
      </c>
      <c r="K46" s="476" t="s">
        <v>331</v>
      </c>
      <c r="L46" s="476">
        <v>2</v>
      </c>
      <c r="M46" s="450" t="str">
        <f t="shared" ref="M46:M49" si="35">IF(L46&lt;=0,"",IF(L46&lt;=2,"Muy Baja",IF(L46&lt;=24,"Baja",IF(L46&lt;=500,"Media",IF(L46&lt;=5000,"Alta","Muy Alta")))))</f>
        <v>Muy Baja</v>
      </c>
      <c r="N46" s="451">
        <f t="shared" si="15"/>
        <v>0.2</v>
      </c>
      <c r="O46" s="452" t="s">
        <v>332</v>
      </c>
      <c r="P46" s="451" t="str">
        <f>IF(NOT(ISERROR(MATCH(O46,'Tabla Impacto'!$B$222:$B$224,0))),'Tabla Impacto'!$F$224&amp;"Por favor no seleccionar los criterios de impacto(Afectación Económica o presupuestal y Pérdida Reputacional)",O46)</f>
        <v xml:space="preserve">     El riesgo afecta la imagen de alguna área de la organización</v>
      </c>
      <c r="Q46" s="453" t="s">
        <v>8</v>
      </c>
      <c r="R46" s="452">
        <f t="shared" si="0"/>
        <v>0.6</v>
      </c>
      <c r="S46" s="454" t="str">
        <f t="shared" si="1"/>
        <v>Moderado</v>
      </c>
      <c r="T46" s="457">
        <v>2</v>
      </c>
      <c r="U46" s="477" t="s">
        <v>334</v>
      </c>
      <c r="V46" s="457" t="str">
        <f t="shared" si="2"/>
        <v>Probabilidad</v>
      </c>
      <c r="W46" s="458" t="s">
        <v>228</v>
      </c>
      <c r="X46" s="458" t="s">
        <v>188</v>
      </c>
      <c r="Y46" s="459" t="str">
        <f t="shared" si="3"/>
        <v>30%</v>
      </c>
      <c r="Z46" s="458" t="s">
        <v>222</v>
      </c>
      <c r="AA46" s="458" t="s">
        <v>190</v>
      </c>
      <c r="AB46" s="458" t="s">
        <v>191</v>
      </c>
      <c r="AC46" s="460">
        <f>IFERROR(IF(AND(V45="Probabilidad",V46="Probabilidad"),(AE45-(+AE45*Y46)),IF(AND(V45="Impacto",V46="Probabilidad"),(AE44-(+AE44*Y46)),IF(V46="Impacto",AE45,""))),"")</f>
        <v>0.23519999999999996</v>
      </c>
      <c r="AD46" s="461" t="str">
        <f t="shared" si="4"/>
        <v>Baja</v>
      </c>
      <c r="AE46" s="462">
        <f t="shared" si="5"/>
        <v>0.23519999999999996</v>
      </c>
      <c r="AF46" s="461" t="str">
        <f t="shared" si="6"/>
        <v>Moderado</v>
      </c>
      <c r="AG46" s="462">
        <f>IFERROR(IF(AND(V45="Impacto",V46="Impacto"),(AG45-(+AG45*Y46)),IF(AND(V45="Probabilidad",V46="Impacto"),(AG44-(+AG44*Y46)),IF(V46="Probabilidad",AG45,""))),"")</f>
        <v>0.6</v>
      </c>
      <c r="AH46" s="463" t="str">
        <f t="shared" si="7"/>
        <v>Moderado</v>
      </c>
      <c r="AI46" s="464" t="s">
        <v>296</v>
      </c>
      <c r="AJ46" s="465"/>
      <c r="AK46" s="465"/>
      <c r="AL46" s="466"/>
      <c r="AM46" s="467"/>
      <c r="AN46" s="468"/>
    </row>
    <row r="47" spans="1:40" ht="151.5" customHeight="1" x14ac:dyDescent="0.2">
      <c r="A47" s="469">
        <v>19</v>
      </c>
      <c r="B47" s="469" t="s">
        <v>335</v>
      </c>
      <c r="C47" s="470" t="s">
        <v>254</v>
      </c>
      <c r="D47" s="447" t="str">
        <f>IFERROR(INDEX('Base de datos gestión'!$D$28:$D$50,MATCH(C47,'Base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47" s="447" t="str">
        <f>IFERROR(INDEX('Base de datos gestión'!$E$28:$E$50,MATCH(C47,'Base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47" s="474" t="s">
        <v>178</v>
      </c>
      <c r="G47" s="475" t="s">
        <v>336</v>
      </c>
      <c r="H47" s="474" t="s">
        <v>337</v>
      </c>
      <c r="I47" s="474" t="s">
        <v>338</v>
      </c>
      <c r="J47" s="476" t="s">
        <v>182</v>
      </c>
      <c r="K47" s="476" t="s">
        <v>183</v>
      </c>
      <c r="L47" s="476">
        <v>6</v>
      </c>
      <c r="M47" s="450" t="str">
        <f t="shared" si="35"/>
        <v>Baja</v>
      </c>
      <c r="N47" s="451">
        <f t="shared" si="15"/>
        <v>0.4</v>
      </c>
      <c r="O47" s="452" t="s">
        <v>339</v>
      </c>
      <c r="P47" s="451" t="str">
        <f>IF(NOT(ISERROR(MATCH(O47,'Tabla Impacto'!$B$222:$B$224,0))),'Tabla Impacto'!$F$224&amp;"Por favor no seleccionar los criterios de impacto(Afectación Económica o presupuestal y Pérdida Reputacional)",O47)</f>
        <v xml:space="preserve">     El riesgo afecta la imagen de la entidad a nivel nacional, con efecto publicitarios sostenible a nivel país</v>
      </c>
      <c r="Q47" s="453" t="s">
        <v>8</v>
      </c>
      <c r="R47" s="452">
        <f t="shared" si="0"/>
        <v>0.6</v>
      </c>
      <c r="S47" s="454" t="str">
        <f t="shared" si="1"/>
        <v>Moderado</v>
      </c>
      <c r="T47" s="457">
        <v>1</v>
      </c>
      <c r="U47" s="477" t="s">
        <v>340</v>
      </c>
      <c r="V47" s="457" t="str">
        <f t="shared" si="2"/>
        <v>Probabilidad</v>
      </c>
      <c r="W47" s="458" t="s">
        <v>187</v>
      </c>
      <c r="X47" s="458" t="s">
        <v>341</v>
      </c>
      <c r="Y47" s="459" t="str">
        <f t="shared" si="3"/>
        <v>50%</v>
      </c>
      <c r="Z47" s="458" t="s">
        <v>222</v>
      </c>
      <c r="AA47" s="458" t="s">
        <v>190</v>
      </c>
      <c r="AB47" s="458" t="s">
        <v>191</v>
      </c>
      <c r="AC47" s="460">
        <f>IFERROR(IF(AND(V46="Probabilidad",V47="Probabilidad"),(AE46-(+AE46*Y47)),IF(AND(V46="Impacto",V47="Probabilidad"),(AE45-(+AE45*Y47)),IF(V47="Impacto",AE46,""))),"")</f>
        <v>0.11759999999999998</v>
      </c>
      <c r="AD47" s="461" t="str">
        <f t="shared" si="4"/>
        <v>Muy Baja</v>
      </c>
      <c r="AE47" s="462">
        <f t="shared" si="5"/>
        <v>0.11759999999999998</v>
      </c>
      <c r="AF47" s="461" t="str">
        <f t="shared" si="6"/>
        <v>Moderado</v>
      </c>
      <c r="AG47" s="462">
        <f>IFERROR(IF(AND(V46="Impacto",V47="Impacto"),(AG46-(+AG46*Y47)),IF(AND(V46="Probabilidad",V47="Impacto"),(AG45-(+AG45*Y47)),IF(V47="Probabilidad",AG46,""))),"")</f>
        <v>0.6</v>
      </c>
      <c r="AH47" s="463" t="str">
        <f t="shared" si="7"/>
        <v>Moderado</v>
      </c>
      <c r="AI47" s="464" t="s">
        <v>192</v>
      </c>
      <c r="AJ47" s="465"/>
      <c r="AK47" s="465"/>
      <c r="AL47" s="466"/>
      <c r="AM47" s="467"/>
      <c r="AN47" s="468"/>
    </row>
    <row r="48" spans="1:40" ht="151.5" customHeight="1" x14ac:dyDescent="0.2">
      <c r="A48" s="469">
        <v>19</v>
      </c>
      <c r="B48" s="469" t="s">
        <v>335</v>
      </c>
      <c r="C48" s="470" t="s">
        <v>254</v>
      </c>
      <c r="D48" s="447" t="str">
        <f>IFERROR(INDEX('Base de datos gestión'!$D$28:$D$50,MATCH(C48,'Base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48" s="447" t="str">
        <f>IFERROR(INDEX('Base de datos gestión'!$E$28:$E$50,MATCH(C48,'Base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48" s="474" t="s">
        <v>178</v>
      </c>
      <c r="G48" s="475" t="s">
        <v>336</v>
      </c>
      <c r="H48" s="474" t="s">
        <v>337</v>
      </c>
      <c r="I48" s="474" t="s">
        <v>338</v>
      </c>
      <c r="J48" s="476" t="s">
        <v>182</v>
      </c>
      <c r="K48" s="476" t="s">
        <v>183</v>
      </c>
      <c r="L48" s="476">
        <v>6</v>
      </c>
      <c r="M48" s="450" t="str">
        <f t="shared" si="35"/>
        <v>Baja</v>
      </c>
      <c r="N48" s="451">
        <f t="shared" si="15"/>
        <v>0.4</v>
      </c>
      <c r="O48" s="452" t="s">
        <v>339</v>
      </c>
      <c r="P48" s="451" t="str">
        <f>IF(NOT(ISERROR(MATCH(O48,'Tabla Impacto'!$B$222:$B$224,0))),'Tabla Impacto'!$F$224&amp;"Por favor no seleccionar los criterios de impacto(Afectación Económica o presupuestal y Pérdida Reputacional)",O48)</f>
        <v xml:space="preserve">     El riesgo afecta la imagen de la entidad a nivel nacional, con efecto publicitarios sostenible a nivel país</v>
      </c>
      <c r="Q48" s="453" t="s">
        <v>342</v>
      </c>
      <c r="R48" s="452">
        <f t="shared" si="0"/>
        <v>1</v>
      </c>
      <c r="S48" s="454" t="str">
        <f t="shared" si="1"/>
        <v>Extremo</v>
      </c>
      <c r="T48" s="457">
        <v>2</v>
      </c>
      <c r="U48" s="477" t="s">
        <v>343</v>
      </c>
      <c r="V48" s="457" t="str">
        <f t="shared" si="2"/>
        <v>Probabilidad</v>
      </c>
      <c r="W48" s="458" t="s">
        <v>187</v>
      </c>
      <c r="X48" s="458" t="s">
        <v>188</v>
      </c>
      <c r="Y48" s="459" t="str">
        <f t="shared" si="3"/>
        <v>40%</v>
      </c>
      <c r="Z48" s="458" t="s">
        <v>222</v>
      </c>
      <c r="AA48" s="458" t="s">
        <v>190</v>
      </c>
      <c r="AB48" s="458" t="s">
        <v>191</v>
      </c>
      <c r="AC48" s="460">
        <f>IFERROR(IF(AND(V47="Probabilidad",V48="Probabilidad"),(AE47-(+AE47*Y48)),IF(AND(V47="Impacto",V48="Probabilidad"),(AE46-(+AE46*Y48)),IF(V48="Impacto",AE47,""))),"")</f>
        <v>7.0559999999999984E-2</v>
      </c>
      <c r="AD48" s="461" t="str">
        <f t="shared" si="4"/>
        <v>Muy Baja</v>
      </c>
      <c r="AE48" s="462">
        <f t="shared" si="5"/>
        <v>7.0559999999999984E-2</v>
      </c>
      <c r="AF48" s="461" t="str">
        <f t="shared" si="6"/>
        <v>Moderado</v>
      </c>
      <c r="AG48" s="462">
        <f>IFERROR(IF(AND(V47="Impacto",V48="Impacto"),(AG47-(+AG47*Y48)),IF(AND(V47="Probabilidad",V48="Impacto"),(AG46-(+AG46*Y48)),IF(V48="Probabilidad",AG47,""))),"")</f>
        <v>0.6</v>
      </c>
      <c r="AH48" s="463" t="str">
        <f t="shared" si="7"/>
        <v>Moderado</v>
      </c>
      <c r="AI48" s="464" t="s">
        <v>192</v>
      </c>
      <c r="AJ48" s="465"/>
      <c r="AK48" s="465"/>
      <c r="AL48" s="466"/>
      <c r="AM48" s="467"/>
      <c r="AN48" s="468"/>
    </row>
    <row r="49" spans="1:40" ht="186.75" customHeight="1" x14ac:dyDescent="0.2">
      <c r="A49" s="478">
        <v>20</v>
      </c>
      <c r="B49" s="478" t="s">
        <v>344</v>
      </c>
      <c r="C49" s="479" t="s">
        <v>345</v>
      </c>
      <c r="D49" s="447" t="str">
        <f>IFERROR(INDEX('Base de datos gestión'!$D$28:$D$50,MATCH(C49,'Base de datos gestión'!$C$28:$C$50,0)), 0)</f>
        <v>Definir políticas, estrategias, planes y acciones en materia de comunicación interna y externa de manera permanente, utilizando los canales de comunicación institucionales y estableciendo sinergias con los grupos de valor, de acuerdo con las actividades definidas en el Plan Estratégico de Comunicaciones, para buscar el logro de los objetivos estratégicos y misionales.
Este proceso esta relacionado con el objetivo estratégico Brindar herramientas que faciliten la diseminación de la trazabilidad y del conocimiento en metrología, para contribuir al aseguramiento de la calidad de los bienes y servicios que se producen y comercializan en el país y el habilitador Gestionar de manera eficaz la información con las partes interesadas.</v>
      </c>
      <c r="E49" s="447" t="str">
        <f>IFERROR(INDEX('Base de datos gestión'!$E$28:$E$50,MATCH(C49,'Base de datos gestión'!$C$28:$C$50,0)), 0)</f>
        <v>Este proceso tiene relación con todos los procesos del Instituto Nacional de Metrología, en cumplimiento de las estrategias de comunicaciones que impacten a los grupos de valor. Inicia con la definición de la política de comunicación del INM y finaliza con el seguimiento al Plan Estratégico de Comunicaciones (PEC) y de ser necesario, al Plan de Comunicación de Crisis.</v>
      </c>
      <c r="F49" s="476" t="s">
        <v>234</v>
      </c>
      <c r="G49" s="475" t="s">
        <v>346</v>
      </c>
      <c r="H49" s="476" t="s">
        <v>347</v>
      </c>
      <c r="I49" s="476" t="s">
        <v>348</v>
      </c>
      <c r="J49" s="476" t="s">
        <v>238</v>
      </c>
      <c r="K49" s="476" t="s">
        <v>183</v>
      </c>
      <c r="L49" s="476">
        <v>600</v>
      </c>
      <c r="M49" s="450" t="str">
        <f t="shared" si="35"/>
        <v>Alta</v>
      </c>
      <c r="N49" s="451">
        <f t="shared" si="15"/>
        <v>0.8</v>
      </c>
      <c r="O49" s="452" t="s">
        <v>214</v>
      </c>
      <c r="P49" s="451" t="str">
        <f>IF(NOT(ISERROR(MATCH(O49,'Tabla Impacto'!$B$222:$B$224,0))),'Tabla Impacto'!$F$224&amp;"Por favor no seleccionar los criterios de impacto(Afectación Económica o presupuestal y Pérdida Reputacional)",O49)</f>
        <v xml:space="preserve">     El riesgo afecta la imagen de la entidad con algunos usuarios de relevancia frente al logro de los objetivos</v>
      </c>
      <c r="Q49" s="453" t="str">
        <f>IF(OR(P49='[1]Tabla Impacto'!$C$12,P49='[1]Tabla Impacto'!$D$12),"Leve",IF(OR(P49='[1]Tabla Impacto'!$C$13,P49='[1]Tabla Impacto'!$D$13),"Menor",IF(OR(P49='[1]Tabla Impacto'!$C$14,P49='[1]Tabla Impacto'!$D$14),"Moderado",IF(OR(P49='[1]Tabla Impacto'!$C$15,P49='[1]Tabla Impacto'!$D$15),"Mayor",IF(OR(P49='[1]Tabla Impacto'!$C$16,P49='[1]Tabla Impacto'!$D$16),"Catastrófico","")))))</f>
        <v>Moderado</v>
      </c>
      <c r="R49" s="452">
        <f t="shared" si="0"/>
        <v>0.6</v>
      </c>
      <c r="S49" s="454" t="str">
        <f t="shared" si="1"/>
        <v>Alto</v>
      </c>
      <c r="T49" s="457">
        <v>1</v>
      </c>
      <c r="U49" s="477" t="s">
        <v>349</v>
      </c>
      <c r="V49" s="457" t="str">
        <f t="shared" si="2"/>
        <v>Probabilidad</v>
      </c>
      <c r="W49" s="458" t="s">
        <v>187</v>
      </c>
      <c r="X49" s="458" t="s">
        <v>188</v>
      </c>
      <c r="Y49" s="459" t="str">
        <f t="shared" si="3"/>
        <v>40%</v>
      </c>
      <c r="Z49" s="458" t="s">
        <v>222</v>
      </c>
      <c r="AA49" s="458" t="s">
        <v>190</v>
      </c>
      <c r="AB49" s="458" t="s">
        <v>191</v>
      </c>
      <c r="AC49" s="460">
        <f>IFERROR(IF(AND(V48="Probabilidad",V49="Probabilidad"),(AE48-(+AE48*Y49)),IF(AND(V48="Impacto",V49="Probabilidad"),(AE47-(+AE47*Y49)),IF(V49="Impacto",AE48,""))),"")</f>
        <v>4.2335999999999985E-2</v>
      </c>
      <c r="AD49" s="461" t="str">
        <f t="shared" si="4"/>
        <v>Muy Baja</v>
      </c>
      <c r="AE49" s="462">
        <f t="shared" si="5"/>
        <v>4.2335999999999985E-2</v>
      </c>
      <c r="AF49" s="461" t="str">
        <f t="shared" si="6"/>
        <v>Moderado</v>
      </c>
      <c r="AG49" s="462">
        <f>IFERROR(IF(AND(V48="Impacto",V49="Impacto"),(AG48-(+AG48*Y49)),IF(AND(V48="Probabilidad",V49="Impacto"),(AG47-(+AG47*Y49)),IF(V49="Probabilidad",AG48,""))),"")</f>
        <v>0.6</v>
      </c>
      <c r="AH49" s="463" t="str">
        <f t="shared" si="7"/>
        <v>Moderado</v>
      </c>
      <c r="AI49" s="464" t="s">
        <v>192</v>
      </c>
      <c r="AJ49" s="465"/>
      <c r="AK49" s="465"/>
      <c r="AL49" s="466"/>
      <c r="AM49" s="467"/>
      <c r="AN49" s="468"/>
    </row>
    <row r="50" spans="1:40" ht="151.5" customHeight="1" x14ac:dyDescent="0.2">
      <c r="A50" s="446">
        <v>21</v>
      </c>
      <c r="B50" s="446" t="s">
        <v>350</v>
      </c>
      <c r="C50" s="447" t="s">
        <v>345</v>
      </c>
      <c r="D50" s="447" t="str">
        <f>IFERROR(INDEX('Base de datos gestión'!$D$28:$D$50,MATCH(C50,'Base de datos gestión'!$C$28:$C$50,0)), 0)</f>
        <v>Definir políticas, estrategias, planes y acciones en materia de comunicación interna y externa de manera permanente, utilizando los canales de comunicación institucionales y estableciendo sinergias con los grupos de valor, de acuerdo con las actividades definidas en el Plan Estratégico de Comunicaciones, para buscar el logro de los objetivos estratégicos y misionales.
Este proceso esta relacionado con el objetivo estratégico Brindar herramientas que faciliten la diseminación de la trazabilidad y del conocimiento en metrología, para contribuir al aseguramiento de la calidad de los bienes y servicios que se producen y comercializan en el país y el habilitador Gestionar de manera eficaz la información con las partes interesadas.</v>
      </c>
      <c r="E50" s="447" t="str">
        <f>IFERROR(INDEX('Base de datos gestión'!$E$28:$E$50,MATCH(C50,'Base de datos gestión'!$C$28:$C$50,0)), 0)</f>
        <v>Este proceso tiene relación con todos los procesos del Instituto Nacional de Metrología, en cumplimiento de las estrategias de comunicaciones que impacten a los grupos de valor. Inicia con la definición de la política de comunicación del INM y finaliza con el seguimiento al Plan Estratégico de Comunicaciones (PEC) y de ser necesario, al Plan de Comunicación de Crisis.</v>
      </c>
      <c r="F50" s="476" t="s">
        <v>178</v>
      </c>
      <c r="G50" s="475" t="s">
        <v>351</v>
      </c>
      <c r="H50" s="476" t="s">
        <v>352</v>
      </c>
      <c r="I50" s="476" t="s">
        <v>353</v>
      </c>
      <c r="J50" s="476" t="s">
        <v>238</v>
      </c>
      <c r="K50" s="476" t="s">
        <v>308</v>
      </c>
      <c r="L50" s="476">
        <v>600</v>
      </c>
      <c r="M50" s="450" t="str">
        <f>IF(L50&lt;=0,"",IF(L50&lt;=2,"Muy Baja",IF(L50&lt;=24,"Baja",IF(L50&lt;=500,"Media",IF(L50&lt;=5000,"Alta","Muy Alta")))))</f>
        <v>Alta</v>
      </c>
      <c r="N50" s="451">
        <f t="shared" si="15"/>
        <v>0.8</v>
      </c>
      <c r="O50" s="452" t="s">
        <v>214</v>
      </c>
      <c r="P50" s="451" t="str">
        <f>IF(NOT(ISERROR(MATCH(O50,'Tabla Impacto'!$B$222:$B$224,0))),'Tabla Impacto'!$F$224&amp;"Por favor no seleccionar los criterios de impacto(Afectación Económica o presupuestal y Pérdida Reputacional)",O50)</f>
        <v xml:space="preserve">     El riesgo afecta la imagen de la entidad con algunos usuarios de relevancia frente al logro de los objetivos</v>
      </c>
      <c r="Q50" s="453" t="str">
        <f>IF(OR(P50='[1]Tabla Impacto'!$C$12,P50='[1]Tabla Impacto'!$D$12),"Leve",IF(OR(P50='[1]Tabla Impacto'!$C$13,P50='[1]Tabla Impacto'!$D$13),"Menor",IF(OR(P50='[1]Tabla Impacto'!$C$14,P50='[1]Tabla Impacto'!$D$14),"Moderado",IF(OR(P50='[1]Tabla Impacto'!$C$15,P50='[1]Tabla Impacto'!$D$15),"Mayor",IF(OR(P50='[1]Tabla Impacto'!$C$16,P50='[1]Tabla Impacto'!$D$16),"Catastrófico","")))))</f>
        <v>Moderado</v>
      </c>
      <c r="R50" s="452">
        <f t="shared" si="0"/>
        <v>0.6</v>
      </c>
      <c r="S50" s="454" t="str">
        <f t="shared" si="1"/>
        <v>Alto</v>
      </c>
      <c r="T50" s="457">
        <v>1</v>
      </c>
      <c r="U50" s="477" t="s">
        <v>354</v>
      </c>
      <c r="V50" s="457" t="str">
        <f t="shared" si="2"/>
        <v>Probabilidad</v>
      </c>
      <c r="W50" s="458" t="s">
        <v>187</v>
      </c>
      <c r="X50" s="458" t="s">
        <v>188</v>
      </c>
      <c r="Y50" s="459" t="str">
        <f t="shared" si="3"/>
        <v>40%</v>
      </c>
      <c r="Z50" s="458" t="s">
        <v>222</v>
      </c>
      <c r="AA50" s="458" t="s">
        <v>190</v>
      </c>
      <c r="AB50" s="458" t="s">
        <v>191</v>
      </c>
      <c r="AC50" s="460">
        <f>IFERROR(IF(V50="Probabilidad",(N50-(+N50*Y50)),IF(V50="Impacto",N50,"")),"")</f>
        <v>0.48</v>
      </c>
      <c r="AD50" s="461" t="str">
        <f t="shared" si="4"/>
        <v>Media</v>
      </c>
      <c r="AE50" s="462">
        <f t="shared" si="5"/>
        <v>0.48</v>
      </c>
      <c r="AF50" s="461" t="str">
        <f t="shared" si="6"/>
        <v>Moderado</v>
      </c>
      <c r="AG50" s="462">
        <f>IFERROR(IF(V50="Impacto",(R50-(+R50*Y50)),IF(V50="Probabilidad",R50,"")),"")</f>
        <v>0.6</v>
      </c>
      <c r="AH50" s="463" t="str">
        <f t="shared" si="7"/>
        <v>Moderado</v>
      </c>
      <c r="AI50" s="464" t="s">
        <v>192</v>
      </c>
      <c r="AJ50" s="465"/>
      <c r="AK50" s="465"/>
      <c r="AL50" s="466"/>
      <c r="AM50" s="467"/>
      <c r="AN50" s="468"/>
    </row>
    <row r="51" spans="1:40" ht="151.5" customHeight="1" x14ac:dyDescent="0.2">
      <c r="A51" s="469">
        <v>22</v>
      </c>
      <c r="B51" s="469" t="s">
        <v>355</v>
      </c>
      <c r="C51" s="470" t="s">
        <v>345</v>
      </c>
      <c r="D51" s="447" t="str">
        <f>IFERROR(INDEX('Base de datos gestión'!$D$28:$D$50,MATCH(C51,'Base de datos gestión'!$C$28:$C$50,0)), 0)</f>
        <v>Definir políticas, estrategias, planes y acciones en materia de comunicación interna y externa de manera permanente, utilizando los canales de comunicación institucionales y estableciendo sinergias con los grupos de valor, de acuerdo con las actividades definidas en el Plan Estratégico de Comunicaciones, para buscar el logro de los objetivos estratégicos y misionales.
Este proceso esta relacionado con el objetivo estratégico Brindar herramientas que faciliten la diseminación de la trazabilidad y del conocimiento en metrología, para contribuir al aseguramiento de la calidad de los bienes y servicios que se producen y comercializan en el país y el habilitador Gestionar de manera eficaz la información con las partes interesadas.</v>
      </c>
      <c r="E51" s="447" t="str">
        <f>IFERROR(INDEX('Base de datos gestión'!$E$28:$E$50,MATCH(C51,'Base de datos gestión'!$C$28:$C$50,0)), 0)</f>
        <v>Este proceso tiene relación con todos los procesos del Instituto Nacional de Metrología, en cumplimiento de las estrategias de comunicaciones que impacten a los grupos de valor. Inicia con la definición de la política de comunicación del INM y finaliza con el seguimiento al Plan Estratégico de Comunicaciones (PEC) y de ser necesario, al Plan de Comunicación de Crisis.</v>
      </c>
      <c r="F51" s="476" t="s">
        <v>178</v>
      </c>
      <c r="G51" s="475" t="s">
        <v>356</v>
      </c>
      <c r="H51" s="476" t="s">
        <v>357</v>
      </c>
      <c r="I51" s="476" t="s">
        <v>358</v>
      </c>
      <c r="J51" s="476" t="s">
        <v>238</v>
      </c>
      <c r="K51" s="476" t="s">
        <v>183</v>
      </c>
      <c r="L51" s="476">
        <v>600</v>
      </c>
      <c r="M51" s="450" t="str">
        <f>IF(L51&lt;=0,"",IF(L51&lt;=2,"Muy Baja",IF(L51&lt;=24,"Baja",IF(L51&lt;=500,"Media",IF(L51&lt;=5000,"Alta","Muy Alta")))))</f>
        <v>Alta</v>
      </c>
      <c r="N51" s="451">
        <f t="shared" si="15"/>
        <v>0.8</v>
      </c>
      <c r="O51" s="452" t="s">
        <v>214</v>
      </c>
      <c r="P51" s="451" t="str">
        <f>IF(NOT(ISERROR(MATCH(O51,'Tabla Impacto'!$B$222:$B$224,0))),'Tabla Impacto'!$F$224&amp;"Por favor no seleccionar los criterios de impacto(Afectación Económica o presupuestal y Pérdida Reputacional)",O51)</f>
        <v xml:space="preserve">     El riesgo afecta la imagen de la entidad con algunos usuarios de relevancia frente al logro de los objetivos</v>
      </c>
      <c r="Q51" s="453" t="str">
        <f>IF(OR(P51='[1]Tabla Impacto'!$C$12,P51='[1]Tabla Impacto'!$D$12),"Leve",IF(OR(P51='[1]Tabla Impacto'!$C$13,P51='[1]Tabla Impacto'!$D$13),"Menor",IF(OR(P51='[1]Tabla Impacto'!$C$14,P51='[1]Tabla Impacto'!$D$14),"Moderado",IF(OR(P51='[1]Tabla Impacto'!$C$15,P51='[1]Tabla Impacto'!$D$15),"Mayor",IF(OR(P51='[1]Tabla Impacto'!$C$16,P51='[1]Tabla Impacto'!$D$16),"Catastrófico","")))))</f>
        <v>Moderado</v>
      </c>
      <c r="R51" s="452">
        <f t="shared" si="0"/>
        <v>0.6</v>
      </c>
      <c r="S51" s="454" t="str">
        <f t="shared" si="1"/>
        <v>Alto</v>
      </c>
      <c r="T51" s="457">
        <v>1</v>
      </c>
      <c r="U51" s="477" t="s">
        <v>359</v>
      </c>
      <c r="V51" s="457" t="str">
        <f t="shared" si="2"/>
        <v>Probabilidad</v>
      </c>
      <c r="W51" s="458" t="s">
        <v>187</v>
      </c>
      <c r="X51" s="458" t="s">
        <v>188</v>
      </c>
      <c r="Y51" s="459" t="str">
        <f t="shared" si="3"/>
        <v>40%</v>
      </c>
      <c r="Z51" s="458" t="s">
        <v>222</v>
      </c>
      <c r="AA51" s="458" t="s">
        <v>190</v>
      </c>
      <c r="AB51" s="458" t="s">
        <v>191</v>
      </c>
      <c r="AC51" s="460">
        <f>IFERROR(IF(AND(V50="Probabilidad",V51="Probabilidad"),(AE50-(+AE50*Y51)),IF(V51="Probabilidad",(N50-(+N50*Y51)),IF(V51="Impacto",AE50,""))),"")</f>
        <v>0.28799999999999998</v>
      </c>
      <c r="AD51" s="461" t="str">
        <f t="shared" si="4"/>
        <v>Baja</v>
      </c>
      <c r="AE51" s="462">
        <f t="shared" si="5"/>
        <v>0.28799999999999998</v>
      </c>
      <c r="AF51" s="461" t="str">
        <f t="shared" si="6"/>
        <v>Moderado</v>
      </c>
      <c r="AG51" s="462">
        <f>IFERROR(IF(AND(V50="Impacto",V51="Impacto"),(AG44-(+AG44*Y51)),IF(V51="Impacto",($R$50-(+$R$50*Y51)),IF(V51="Probabilidad",AG44,""))),"")</f>
        <v>0.6</v>
      </c>
      <c r="AH51" s="463" t="str">
        <f t="shared" si="7"/>
        <v>Moderado</v>
      </c>
      <c r="AI51" s="464" t="s">
        <v>192</v>
      </c>
      <c r="AJ51" s="465"/>
      <c r="AK51" s="465"/>
      <c r="AL51" s="466"/>
      <c r="AM51" s="467"/>
      <c r="AN51" s="468"/>
    </row>
    <row r="52" spans="1:40" ht="151.5" customHeight="1" x14ac:dyDescent="0.2">
      <c r="A52" s="469">
        <v>23</v>
      </c>
      <c r="B52" s="469" t="s">
        <v>360</v>
      </c>
      <c r="C52" s="470" t="s">
        <v>345</v>
      </c>
      <c r="D52" s="447" t="str">
        <f>IFERROR(INDEX('Base de datos gestión'!$D$28:$D$50,MATCH(C52,'Base de datos gestión'!$C$28:$C$50,0)), 0)</f>
        <v>Definir políticas, estrategias, planes y acciones en materia de comunicación interna y externa de manera permanente, utilizando los canales de comunicación institucionales y estableciendo sinergias con los grupos de valor, de acuerdo con las actividades definidas en el Plan Estratégico de Comunicaciones, para buscar el logro de los objetivos estratégicos y misionales.
Este proceso esta relacionado con el objetivo estratégico Brindar herramientas que faciliten la diseminación de la trazabilidad y del conocimiento en metrología, para contribuir al aseguramiento de la calidad de los bienes y servicios que se producen y comercializan en el país y el habilitador Gestionar de manera eficaz la información con las partes interesadas.</v>
      </c>
      <c r="E52" s="447" t="str">
        <f>IFERROR(INDEX('Base de datos gestión'!$E$28:$E$50,MATCH(C52,'Base de datos gestión'!$C$28:$C$50,0)), 0)</f>
        <v>Este proceso tiene relación con todos los procesos del Instituto Nacional de Metrología, en cumplimiento de las estrategias de comunicaciones que impacten a los grupos de valor. Inicia con la definición de la política de comunicación del INM y finaliza con el seguimiento al Plan Estratégico de Comunicaciones (PEC) y de ser necesario, al Plan de Comunicación de Crisis.</v>
      </c>
      <c r="F52" s="476" t="s">
        <v>178</v>
      </c>
      <c r="G52" s="475" t="s">
        <v>361</v>
      </c>
      <c r="H52" s="476" t="s">
        <v>362</v>
      </c>
      <c r="I52" s="476" t="s">
        <v>363</v>
      </c>
      <c r="J52" s="476" t="s">
        <v>238</v>
      </c>
      <c r="K52" s="476" t="s">
        <v>364</v>
      </c>
      <c r="L52" s="476">
        <v>600</v>
      </c>
      <c r="M52" s="450" t="str">
        <f t="shared" ref="M52:M55" si="36">IF(L52&lt;=0,"",IF(L52&lt;=2,"Muy Baja",IF(L52&lt;=24,"Baja",IF(L52&lt;=500,"Media",IF(L52&lt;=5000,"Alta","Muy Alta")))))</f>
        <v>Alta</v>
      </c>
      <c r="N52" s="451">
        <f t="shared" si="15"/>
        <v>0.8</v>
      </c>
      <c r="O52" s="452" t="s">
        <v>214</v>
      </c>
      <c r="P52" s="451" t="str">
        <f>IF(NOT(ISERROR(MATCH(O52,'Tabla Impacto'!$B$222:$B$224,0))),'Tabla Impacto'!$F$224&amp;"Por favor no seleccionar los criterios de impacto(Afectación Económica o presupuestal y Pérdida Reputacional)",O52)</f>
        <v xml:space="preserve">     El riesgo afecta la imagen de la entidad con algunos usuarios de relevancia frente al logro de los objetivos</v>
      </c>
      <c r="Q52" s="453" t="str">
        <f>IF(OR(P52='[1]Tabla Impacto'!$C$12,P52='[1]Tabla Impacto'!$D$12),"Leve",IF(OR(P52='[1]Tabla Impacto'!$C$13,P52='[1]Tabla Impacto'!$D$13),"Menor",IF(OR(P52='[1]Tabla Impacto'!$C$14,P52='[1]Tabla Impacto'!$D$14),"Moderado",IF(OR(P52='[1]Tabla Impacto'!$C$15,P52='[1]Tabla Impacto'!$D$15),"Mayor",IF(OR(P52='[1]Tabla Impacto'!$C$16,P52='[1]Tabla Impacto'!$D$16),"Catastrófico","")))))</f>
        <v>Moderado</v>
      </c>
      <c r="R52" s="452">
        <f t="shared" si="0"/>
        <v>0.6</v>
      </c>
      <c r="S52" s="454" t="str">
        <f t="shared" si="1"/>
        <v>Alto</v>
      </c>
      <c r="T52" s="457">
        <v>1</v>
      </c>
      <c r="U52" s="477" t="s">
        <v>365</v>
      </c>
      <c r="V52" s="457" t="str">
        <f t="shared" si="2"/>
        <v>Probabilidad</v>
      </c>
      <c r="W52" s="458" t="s">
        <v>187</v>
      </c>
      <c r="X52" s="458" t="s">
        <v>188</v>
      </c>
      <c r="Y52" s="459" t="str">
        <f t="shared" si="3"/>
        <v>40%</v>
      </c>
      <c r="Z52" s="458" t="s">
        <v>189</v>
      </c>
      <c r="AA52" s="458" t="s">
        <v>202</v>
      </c>
      <c r="AB52" s="458" t="s">
        <v>216</v>
      </c>
      <c r="AC52" s="460">
        <f>IFERROR(IF(AND(V51="Probabilidad",V52="Probabilidad"),(AE51-(+AE51*Y52)),IF(AND(V51="Impacto",V52="Probabilidad"),(AE50-(+AE50*Y52)),IF(V52="Impacto",AE51,""))),"")</f>
        <v>0.17279999999999998</v>
      </c>
      <c r="AD52" s="461" t="str">
        <f t="shared" si="4"/>
        <v>Muy Baja</v>
      </c>
      <c r="AE52" s="462">
        <f t="shared" si="5"/>
        <v>0.17279999999999998</v>
      </c>
      <c r="AF52" s="461" t="str">
        <f t="shared" si="6"/>
        <v>Moderado</v>
      </c>
      <c r="AG52" s="462">
        <f>IFERROR(IF(AND(V51="Impacto",V52="Impacto"),(AG51-(+AG51*Y52)),IF(AND(V51="Probabilidad",V52="Impacto"),(AG50-(+AG50*Y52)),IF(V52="Probabilidad",AG51,""))),"")</f>
        <v>0.6</v>
      </c>
      <c r="AH52" s="463" t="str">
        <f t="shared" si="7"/>
        <v>Moderado</v>
      </c>
      <c r="AI52" s="464" t="s">
        <v>192</v>
      </c>
      <c r="AJ52" s="465"/>
      <c r="AK52" s="465"/>
      <c r="AL52" s="466"/>
      <c r="AM52" s="467"/>
      <c r="AN52" s="468"/>
    </row>
    <row r="53" spans="1:40" ht="151.5" customHeight="1" x14ac:dyDescent="0.2">
      <c r="A53" s="469">
        <v>24</v>
      </c>
      <c r="B53" s="469" t="s">
        <v>366</v>
      </c>
      <c r="C53" s="470" t="s">
        <v>345</v>
      </c>
      <c r="D53" s="447" t="str">
        <f>IFERROR(INDEX('Base de datos gestión'!$D$28:$D$50,MATCH(C53,'Base de datos gestión'!$C$28:$C$50,0)), 0)</f>
        <v>Definir políticas, estrategias, planes y acciones en materia de comunicación interna y externa de manera permanente, utilizando los canales de comunicación institucionales y estableciendo sinergias con los grupos de valor, de acuerdo con las actividades definidas en el Plan Estratégico de Comunicaciones, para buscar el logro de los objetivos estratégicos y misionales.
Este proceso esta relacionado con el objetivo estratégico Brindar herramientas que faciliten la diseminación de la trazabilidad y del conocimiento en metrología, para contribuir al aseguramiento de la calidad de los bienes y servicios que se producen y comercializan en el país y el habilitador Gestionar de manera eficaz la información con las partes interesadas.</v>
      </c>
      <c r="E53" s="447" t="str">
        <f>IFERROR(INDEX('Base de datos gestión'!$E$28:$E$50,MATCH(C53,'Base de datos gestión'!$C$28:$C$50,0)), 0)</f>
        <v>Este proceso tiene relación con todos los procesos del Instituto Nacional de Metrología, en cumplimiento de las estrategias de comunicaciones que impacten a los grupos de valor. Inicia con la definición de la política de comunicación del INM y finaliza con el seguimiento al Plan Estratégico de Comunicaciones (PEC) y de ser necesario, al Plan de Comunicación de Crisis.</v>
      </c>
      <c r="F53" s="476" t="s">
        <v>178</v>
      </c>
      <c r="G53" s="475" t="s">
        <v>367</v>
      </c>
      <c r="H53" s="476" t="s">
        <v>368</v>
      </c>
      <c r="I53" s="476" t="s">
        <v>369</v>
      </c>
      <c r="J53" s="476" t="s">
        <v>238</v>
      </c>
      <c r="K53" s="476" t="s">
        <v>183</v>
      </c>
      <c r="L53" s="476">
        <v>600</v>
      </c>
      <c r="M53" s="450" t="str">
        <f t="shared" si="36"/>
        <v>Alta</v>
      </c>
      <c r="N53" s="451">
        <f t="shared" si="15"/>
        <v>0.8</v>
      </c>
      <c r="O53" s="452" t="s">
        <v>214</v>
      </c>
      <c r="P53" s="451" t="str">
        <f>IF(NOT(ISERROR(MATCH(O53,'Tabla Impacto'!$B$222:$B$224,0))),'Tabla Impacto'!$F$224&amp;"Por favor no seleccionar los criterios de impacto(Afectación Económica o presupuestal y Pérdida Reputacional)",O53)</f>
        <v xml:space="preserve">     El riesgo afecta la imagen de la entidad con algunos usuarios de relevancia frente al logro de los objetivos</v>
      </c>
      <c r="Q53" s="453" t="str">
        <f>IF(OR(P53='[1]Tabla Impacto'!$C$12,P53='[1]Tabla Impacto'!$D$12),"Leve",IF(OR(P53='[1]Tabla Impacto'!$C$13,P53='[1]Tabla Impacto'!$D$13),"Menor",IF(OR(P53='[1]Tabla Impacto'!$C$14,P53='[1]Tabla Impacto'!$D$14),"Moderado",IF(OR(P53='[1]Tabla Impacto'!$C$15,P53='[1]Tabla Impacto'!$D$15),"Mayor",IF(OR(P53='[1]Tabla Impacto'!$C$16,P53='[1]Tabla Impacto'!$D$16),"Catastrófico","")))))</f>
        <v>Moderado</v>
      </c>
      <c r="R53" s="452">
        <f t="shared" si="0"/>
        <v>0.6</v>
      </c>
      <c r="S53" s="454" t="str">
        <f t="shared" si="1"/>
        <v>Alto</v>
      </c>
      <c r="T53" s="457">
        <v>1</v>
      </c>
      <c r="U53" s="477" t="s">
        <v>370</v>
      </c>
      <c r="V53" s="457" t="str">
        <f t="shared" si="2"/>
        <v>Probabilidad</v>
      </c>
      <c r="W53" s="458" t="s">
        <v>228</v>
      </c>
      <c r="X53" s="458" t="s">
        <v>188</v>
      </c>
      <c r="Y53" s="459" t="str">
        <f t="shared" si="3"/>
        <v>30%</v>
      </c>
      <c r="Z53" s="458" t="s">
        <v>189</v>
      </c>
      <c r="AA53" s="458" t="s">
        <v>202</v>
      </c>
      <c r="AB53" s="458" t="s">
        <v>216</v>
      </c>
      <c r="AC53" s="460">
        <f>IFERROR(IF(AND(V52="Probabilidad",V53="Probabilidad"),(AE52-(+AE52*Y53)),IF(AND(V52="Impacto",V53="Probabilidad"),(AE51-(+AE51*Y53)),IF(V53="Impacto",AE52,""))),"")</f>
        <v>0.12095999999999998</v>
      </c>
      <c r="AD53" s="461" t="str">
        <f t="shared" si="4"/>
        <v>Muy Baja</v>
      </c>
      <c r="AE53" s="462">
        <f t="shared" si="5"/>
        <v>0.12095999999999998</v>
      </c>
      <c r="AF53" s="461" t="str">
        <f t="shared" si="6"/>
        <v>Moderado</v>
      </c>
      <c r="AG53" s="462">
        <f>IFERROR(IF(AND(V52="Impacto",V53="Impacto"),(AG52-(+AG52*Y53)),IF(AND(V52="Probabilidad",V53="Impacto"),(AG51-(+AG51*Y53)),IF(V53="Probabilidad",AG52,""))),"")</f>
        <v>0.6</v>
      </c>
      <c r="AH53" s="463" t="str">
        <f t="shared" si="7"/>
        <v>Moderado</v>
      </c>
      <c r="AI53" s="464" t="s">
        <v>192</v>
      </c>
      <c r="AJ53" s="465"/>
      <c r="AK53" s="465"/>
      <c r="AL53" s="466"/>
      <c r="AM53" s="467"/>
      <c r="AN53" s="468"/>
    </row>
    <row r="54" spans="1:40" ht="151.5" customHeight="1" x14ac:dyDescent="0.2">
      <c r="A54" s="469">
        <v>25</v>
      </c>
      <c r="B54" s="469" t="s">
        <v>371</v>
      </c>
      <c r="C54" s="470" t="s">
        <v>345</v>
      </c>
      <c r="D54" s="447" t="str">
        <f>IFERROR(INDEX('Base de datos gestión'!$D$28:$D$50,MATCH(C54,'Base de datos gestión'!$C$28:$C$50,0)), 0)</f>
        <v>Definir políticas, estrategias, planes y acciones en materia de comunicación interna y externa de manera permanente, utilizando los canales de comunicación institucionales y estableciendo sinergias con los grupos de valor, de acuerdo con las actividades definidas en el Plan Estratégico de Comunicaciones, para buscar el logro de los objetivos estratégicos y misionales.
Este proceso esta relacionado con el objetivo estratégico Brindar herramientas que faciliten la diseminación de la trazabilidad y del conocimiento en metrología, para contribuir al aseguramiento de la calidad de los bienes y servicios que se producen y comercializan en el país y el habilitador Gestionar de manera eficaz la información con las partes interesadas.</v>
      </c>
      <c r="E54" s="447" t="str">
        <f>IFERROR(INDEX('Base de datos gestión'!$E$28:$E$50,MATCH(C54,'Base de datos gestión'!$C$28:$C$50,0)), 0)</f>
        <v>Este proceso tiene relación con todos los procesos del Instituto Nacional de Metrología, en cumplimiento de las estrategias de comunicaciones que impacten a los grupos de valor. Inicia con la definición de la política de comunicación del INM y finaliza con el seguimiento al Plan Estratégico de Comunicaciones (PEC) y de ser necesario, al Plan de Comunicación de Crisis.</v>
      </c>
      <c r="F54" s="476" t="s">
        <v>178</v>
      </c>
      <c r="G54" s="475" t="s">
        <v>372</v>
      </c>
      <c r="H54" s="476" t="s">
        <v>373</v>
      </c>
      <c r="I54" s="476" t="s">
        <v>374</v>
      </c>
      <c r="J54" s="476" t="s">
        <v>238</v>
      </c>
      <c r="K54" s="476" t="s">
        <v>183</v>
      </c>
      <c r="L54" s="476">
        <v>600</v>
      </c>
      <c r="M54" s="450" t="str">
        <f t="shared" si="36"/>
        <v>Alta</v>
      </c>
      <c r="N54" s="451">
        <f t="shared" si="15"/>
        <v>0.8</v>
      </c>
      <c r="O54" s="452" t="s">
        <v>214</v>
      </c>
      <c r="P54" s="451" t="str">
        <f>IF(NOT(ISERROR(MATCH(O54,'Tabla Impacto'!$B$222:$B$224,0))),'Tabla Impacto'!$F$224&amp;"Por favor no seleccionar los criterios de impacto(Afectación Económica o presupuestal y Pérdida Reputacional)",O54)</f>
        <v xml:space="preserve">     El riesgo afecta la imagen de la entidad con algunos usuarios de relevancia frente al logro de los objetivos</v>
      </c>
      <c r="Q54" s="453" t="str">
        <f>IF(OR(P54='[1]Tabla Impacto'!$C$12,P54='[1]Tabla Impacto'!$D$12),"Leve",IF(OR(P54='[1]Tabla Impacto'!$C$13,P54='[1]Tabla Impacto'!$D$13),"Menor",IF(OR(P54='[1]Tabla Impacto'!$C$14,P54='[1]Tabla Impacto'!$D$14),"Moderado",IF(OR(P54='[1]Tabla Impacto'!$C$15,P54='[1]Tabla Impacto'!$D$15),"Mayor",IF(OR(P54='[1]Tabla Impacto'!$C$16,P54='[1]Tabla Impacto'!$D$16),"Catastrófico","")))))</f>
        <v>Moderado</v>
      </c>
      <c r="R54" s="452">
        <f t="shared" si="0"/>
        <v>0.6</v>
      </c>
      <c r="S54" s="454" t="str">
        <f t="shared" si="1"/>
        <v>Alto</v>
      </c>
      <c r="T54" s="457">
        <v>1</v>
      </c>
      <c r="U54" s="477" t="s">
        <v>375</v>
      </c>
      <c r="V54" s="457" t="str">
        <f t="shared" si="2"/>
        <v>Probabilidad</v>
      </c>
      <c r="W54" s="458" t="s">
        <v>228</v>
      </c>
      <c r="X54" s="458" t="s">
        <v>188</v>
      </c>
      <c r="Y54" s="459" t="str">
        <f t="shared" si="3"/>
        <v>30%</v>
      </c>
      <c r="Z54" s="458" t="s">
        <v>189</v>
      </c>
      <c r="AA54" s="458" t="s">
        <v>202</v>
      </c>
      <c r="AB54" s="458" t="s">
        <v>216</v>
      </c>
      <c r="AC54" s="460">
        <f>IFERROR(IF(AND(V53="Probabilidad",V54="Probabilidad"),(AE53-(+AE53*Y54)),IF(AND(V53="Impacto",V54="Probabilidad"),(AE52-(+AE52*Y54)),IF(V54="Impacto",AE53,""))),"")</f>
        <v>8.4671999999999997E-2</v>
      </c>
      <c r="AD54" s="461" t="str">
        <f t="shared" si="4"/>
        <v>Muy Baja</v>
      </c>
      <c r="AE54" s="462">
        <f t="shared" si="5"/>
        <v>8.4671999999999997E-2</v>
      </c>
      <c r="AF54" s="461" t="str">
        <f t="shared" si="6"/>
        <v>Moderado</v>
      </c>
      <c r="AG54" s="462">
        <f>IFERROR(IF(AND(V53="Impacto",V54="Impacto"),(AG53-(+AG53*Y54)),IF(AND(V53="Probabilidad",V54="Impacto"),(AG52-(+AG52*Y54)),IF(V54="Probabilidad",AG53,""))),"")</f>
        <v>0.6</v>
      </c>
      <c r="AH54" s="463" t="str">
        <f t="shared" si="7"/>
        <v>Moderado</v>
      </c>
      <c r="AI54" s="464" t="s">
        <v>192</v>
      </c>
      <c r="AJ54" s="465"/>
      <c r="AK54" s="465"/>
      <c r="AL54" s="466"/>
      <c r="AM54" s="467"/>
      <c r="AN54" s="468"/>
    </row>
    <row r="55" spans="1:40" ht="151.5" customHeight="1" x14ac:dyDescent="0.2">
      <c r="A55" s="478">
        <v>26</v>
      </c>
      <c r="B55" s="478" t="s">
        <v>376</v>
      </c>
      <c r="C55" s="479" t="s">
        <v>345</v>
      </c>
      <c r="D55" s="447" t="str">
        <f>IFERROR(INDEX('Base de datos gestión'!$D$28:$D$50,MATCH(C55,'Base de datos gestión'!$C$28:$C$50,0)), 0)</f>
        <v>Definir políticas, estrategias, planes y acciones en materia de comunicación interna y externa de manera permanente, utilizando los canales de comunicación institucionales y estableciendo sinergias con los grupos de valor, de acuerdo con las actividades definidas en el Plan Estratégico de Comunicaciones, para buscar el logro de los objetivos estratégicos y misionales.
Este proceso esta relacionado con el objetivo estratégico Brindar herramientas que faciliten la diseminación de la trazabilidad y del conocimiento en metrología, para contribuir al aseguramiento de la calidad de los bienes y servicios que se producen y comercializan en el país y el habilitador Gestionar de manera eficaz la información con las partes interesadas.</v>
      </c>
      <c r="E55" s="447" t="str">
        <f>IFERROR(INDEX('Base de datos gestión'!$E$28:$E$50,MATCH(C55,'Base de datos gestión'!$C$28:$C$50,0)), 0)</f>
        <v>Este proceso tiene relación con todos los procesos del Instituto Nacional de Metrología, en cumplimiento de las estrategias de comunicaciones que impacten a los grupos de valor. Inicia con la definición de la política de comunicación del INM y finaliza con el seguimiento al Plan Estratégico de Comunicaciones (PEC) y de ser necesario, al Plan de Comunicación de Crisis.</v>
      </c>
      <c r="F55" s="476" t="s">
        <v>178</v>
      </c>
      <c r="G55" s="475" t="s">
        <v>377</v>
      </c>
      <c r="H55" s="476" t="s">
        <v>378</v>
      </c>
      <c r="I55" s="476" t="s">
        <v>379</v>
      </c>
      <c r="J55" s="476" t="s">
        <v>238</v>
      </c>
      <c r="K55" s="476" t="s">
        <v>380</v>
      </c>
      <c r="L55" s="476">
        <v>600</v>
      </c>
      <c r="M55" s="450" t="str">
        <f t="shared" si="36"/>
        <v>Alta</v>
      </c>
      <c r="N55" s="451">
        <f t="shared" si="15"/>
        <v>0.8</v>
      </c>
      <c r="O55" s="452" t="s">
        <v>214</v>
      </c>
      <c r="P55" s="451" t="str">
        <f>IF(NOT(ISERROR(MATCH(O55,'Tabla Impacto'!$B$222:$B$224,0))),'Tabla Impacto'!$F$224&amp;"Por favor no seleccionar los criterios de impacto(Afectación Económica o presupuestal y Pérdida Reputacional)",O55)</f>
        <v xml:space="preserve">     El riesgo afecta la imagen de la entidad con algunos usuarios de relevancia frente al logro de los objetivos</v>
      </c>
      <c r="Q55" s="453" t="str">
        <f>IF(OR(P55='[1]Tabla Impacto'!$C$12,P55='[1]Tabla Impacto'!$D$12),"Leve",IF(OR(P55='[1]Tabla Impacto'!$C$13,P55='[1]Tabla Impacto'!$D$13),"Menor",IF(OR(P55='[1]Tabla Impacto'!$C$14,P55='[1]Tabla Impacto'!$D$14),"Moderado",IF(OR(P55='[1]Tabla Impacto'!$C$15,P55='[1]Tabla Impacto'!$D$15),"Mayor",IF(OR(P55='[1]Tabla Impacto'!$C$16,P55='[1]Tabla Impacto'!$D$16),"Catastrófico","")))))</f>
        <v>Moderado</v>
      </c>
      <c r="R55" s="452">
        <f t="shared" si="0"/>
        <v>0.6</v>
      </c>
      <c r="S55" s="454" t="str">
        <f t="shared" si="1"/>
        <v>Alto</v>
      </c>
      <c r="T55" s="457">
        <v>1</v>
      </c>
      <c r="U55" s="477" t="s">
        <v>381</v>
      </c>
      <c r="V55" s="457" t="str">
        <f t="shared" si="2"/>
        <v>Probabilidad</v>
      </c>
      <c r="W55" s="458" t="s">
        <v>228</v>
      </c>
      <c r="X55" s="458" t="s">
        <v>188</v>
      </c>
      <c r="Y55" s="459" t="str">
        <f t="shared" si="3"/>
        <v>30%</v>
      </c>
      <c r="Z55" s="458" t="s">
        <v>189</v>
      </c>
      <c r="AA55" s="458" t="s">
        <v>202</v>
      </c>
      <c r="AB55" s="458" t="s">
        <v>216</v>
      </c>
      <c r="AC55" s="460">
        <f>IFERROR(IF(AND(V54="Probabilidad",V55="Probabilidad"),(AE54-(+AE54*Y55)),IF(AND(V54="Impacto",V55="Probabilidad"),(AE53-(+AE53*Y55)),IF(V55="Impacto",AE54,""))),"")</f>
        <v>5.9270400000000001E-2</v>
      </c>
      <c r="AD55" s="461" t="str">
        <f t="shared" si="4"/>
        <v>Muy Baja</v>
      </c>
      <c r="AE55" s="462">
        <f t="shared" si="5"/>
        <v>5.9270400000000001E-2</v>
      </c>
      <c r="AF55" s="461" t="str">
        <f t="shared" si="6"/>
        <v>Moderado</v>
      </c>
      <c r="AG55" s="462">
        <f>IFERROR(IF(AND(V54="Impacto",V55="Impacto"),(AG54-(+AG54*Y55)),IF(AND(V54="Probabilidad",V55="Impacto"),(AG53-(+AG53*Y55)),IF(V55="Probabilidad",AG54,""))),"")</f>
        <v>0.6</v>
      </c>
      <c r="AH55" s="463" t="str">
        <f t="shared" si="7"/>
        <v>Moderado</v>
      </c>
      <c r="AI55" s="464" t="s">
        <v>192</v>
      </c>
      <c r="AJ55" s="465"/>
      <c r="AK55" s="465"/>
      <c r="AL55" s="466"/>
      <c r="AM55" s="467"/>
      <c r="AN55" s="468"/>
    </row>
    <row r="56" spans="1:40" ht="151.5" customHeight="1" x14ac:dyDescent="0.2">
      <c r="A56" s="446">
        <v>27</v>
      </c>
      <c r="B56" s="446" t="s">
        <v>382</v>
      </c>
      <c r="C56" s="447" t="s">
        <v>383</v>
      </c>
      <c r="D56" s="447" t="str">
        <f>IFERROR(INDEX('Base de datos gestión'!$D$28:$D$50,MATCH(C56,'Base de datos gestión'!$C$28:$C$50,0)), 0)</f>
        <v>Facilitar los mecanismos para la implementación de la política de servicio al ciudadano de la entidad, de manera articulada con las demás dependencias del INM, que incluya el cumplimiento de los tiempos y respuestas a las peticiones de los ciudadanos, así como, la medición del nivel de satisfacción en los contactos con el ciudadano y cada uno de los servicios prestados a los clientes, de forma permanente y dirigido a todos los grupos de valor del INM, para mejorar la relación Estado – Ciudadano y el entendimiento de la metrología como bien público.
Este proceso está relacionado con el Objetivo Estratégico: Brindar herramientas que faciliten la diseminación de la trazabilidad y del conocimiento en metrología, para contribuir al aseguramiento de la calidad de los bienes y servicios que se producen y comercializan en el país.</v>
      </c>
      <c r="E56" s="447" t="str">
        <f>IFERROR(INDEX('Base de datos gestión'!$E$28:$E$50,MATCH(C56,'Base de datos gestión'!$C$28:$C$50,0)), 0)</f>
        <v>Inicia con la definición y planificación de las estrategias que faciliten el cumplimiento de la política de servicio al ciudadano y finaliza con reportar las actividades realizadas en el proceso de Servicio al ciudadano de acuerdo con el Plan de Acción e implementar las acciones de mejoramiento detectadas en el proceso por diferentes fuentes. Incluye la evaluación a la respuesta dada y al servicio prestado y/o comercializado.</v>
      </c>
      <c r="F56" s="476" t="s">
        <v>178</v>
      </c>
      <c r="G56" s="475" t="s">
        <v>384</v>
      </c>
      <c r="H56" s="476" t="s">
        <v>385</v>
      </c>
      <c r="I56" s="476" t="s">
        <v>386</v>
      </c>
      <c r="J56" s="476" t="s">
        <v>238</v>
      </c>
      <c r="K56" s="476" t="s">
        <v>183</v>
      </c>
      <c r="L56" s="476">
        <v>9000</v>
      </c>
      <c r="M56" s="450" t="str">
        <f>IF(L56&lt;=0,"",IF(L56&lt;=2,"Muy Baja",IF(L56&lt;=24,"Baja",IF(L56&lt;=500,"Media",IF(L56&lt;=5000,"Alta","Muy Alta")))))</f>
        <v>Muy Alta</v>
      </c>
      <c r="N56" s="451">
        <f t="shared" si="15"/>
        <v>1</v>
      </c>
      <c r="O56" s="452" t="s">
        <v>214</v>
      </c>
      <c r="P56" s="451" t="str">
        <f>IF(NOT(ISERROR(MATCH(O56,'Tabla Impacto'!$B$222:$B$224,0))),'Tabla Impacto'!$F$224&amp;"Por favor no seleccionar los criterios de impacto(Afectación Económica o presupuestal y Pérdida Reputacional)",O56)</f>
        <v xml:space="preserve">     El riesgo afecta la imagen de la entidad con algunos usuarios de relevancia frente al logro de los objetivos</v>
      </c>
      <c r="Q56" s="453" t="str">
        <f>IF(OR(P56='[1]Tabla Impacto'!$C$12,P56='[1]Tabla Impacto'!$D$12),"Leve",IF(OR(P56='[1]Tabla Impacto'!$C$13,P56='[1]Tabla Impacto'!$D$13),"Menor",IF(OR(P56='[1]Tabla Impacto'!$C$14,P56='[1]Tabla Impacto'!$D$14),"Moderado",IF(OR(P56='[1]Tabla Impacto'!$C$15,P56='[1]Tabla Impacto'!$D$15),"Mayor",IF(OR(P56='[1]Tabla Impacto'!$C$16,P56='[1]Tabla Impacto'!$D$16),"Catastrófico","")))))</f>
        <v>Moderado</v>
      </c>
      <c r="R56" s="452">
        <f t="shared" si="0"/>
        <v>0.6</v>
      </c>
      <c r="S56" s="454" t="str">
        <f t="shared" si="1"/>
        <v>Alto</v>
      </c>
      <c r="T56" s="457">
        <v>1</v>
      </c>
      <c r="U56" s="477" t="s">
        <v>387</v>
      </c>
      <c r="V56" s="457" t="str">
        <f t="shared" si="2"/>
        <v>Probabilidad</v>
      </c>
      <c r="W56" s="458" t="s">
        <v>187</v>
      </c>
      <c r="X56" s="458" t="s">
        <v>341</v>
      </c>
      <c r="Y56" s="459" t="str">
        <f t="shared" si="3"/>
        <v>50%</v>
      </c>
      <c r="Z56" s="458" t="s">
        <v>222</v>
      </c>
      <c r="AA56" s="458" t="s">
        <v>202</v>
      </c>
      <c r="AB56" s="458" t="s">
        <v>191</v>
      </c>
      <c r="AC56" s="460">
        <f>IFERROR(IF(V56="Probabilidad",(N56-(+N56*Y56)),IF(V56="Impacto",N56,"")),"")</f>
        <v>0.5</v>
      </c>
      <c r="AD56" s="461" t="str">
        <f t="shared" si="4"/>
        <v>Media</v>
      </c>
      <c r="AE56" s="462">
        <f t="shared" si="5"/>
        <v>0.5</v>
      </c>
      <c r="AF56" s="461" t="str">
        <f t="shared" si="6"/>
        <v>Moderado</v>
      </c>
      <c r="AG56" s="462">
        <f>IFERROR(IF(V56="Impacto",(R56-(+R56*Y56)),IF(V56="Probabilidad",R56,"")),"")</f>
        <v>0.6</v>
      </c>
      <c r="AH56" s="463" t="str">
        <f t="shared" si="7"/>
        <v>Moderado</v>
      </c>
      <c r="AI56" s="464" t="s">
        <v>192</v>
      </c>
      <c r="AJ56" s="465"/>
      <c r="AK56" s="465"/>
      <c r="AL56" s="466"/>
      <c r="AM56" s="467"/>
      <c r="AN56" s="468"/>
    </row>
    <row r="57" spans="1:40" ht="151.5" customHeight="1" x14ac:dyDescent="0.2">
      <c r="A57" s="469">
        <v>28</v>
      </c>
      <c r="B57" s="469" t="s">
        <v>388</v>
      </c>
      <c r="C57" s="470" t="s">
        <v>383</v>
      </c>
      <c r="D57" s="447" t="str">
        <f>IFERROR(INDEX('Base de datos gestión'!$D$28:$D$50,MATCH(C57,'Base de datos gestión'!$C$28:$C$50,0)), 0)</f>
        <v>Facilitar los mecanismos para la implementación de la política de servicio al ciudadano de la entidad, de manera articulada con las demás dependencias del INM, que incluya el cumplimiento de los tiempos y respuestas a las peticiones de los ciudadanos, así como, la medición del nivel de satisfacción en los contactos con el ciudadano y cada uno de los servicios prestados a los clientes, de forma permanente y dirigido a todos los grupos de valor del INM, para mejorar la relación Estado – Ciudadano y el entendimiento de la metrología como bien público.
Este proceso está relacionado con el Objetivo Estratégico: Brindar herramientas que faciliten la diseminación de la trazabilidad y del conocimiento en metrología, para contribuir al aseguramiento de la calidad de los bienes y servicios que se producen y comercializan en el país.</v>
      </c>
      <c r="E57" s="447" t="str">
        <f>IFERROR(INDEX('Base de datos gestión'!$E$28:$E$50,MATCH(C57,'Base de datos gestión'!$C$28:$C$50,0)), 0)</f>
        <v>Inicia con la definición y planificación de las estrategias que faciliten el cumplimiento de la política de servicio al ciudadano y finaliza con reportar las actividades realizadas en el proceso de Servicio al ciudadano de acuerdo con el Plan de Acción e implementar las acciones de mejoramiento detectadas en el proceso por diferentes fuentes. Incluye la evaluación a la respuesta dada y al servicio prestado y/o comercializado.</v>
      </c>
      <c r="F57" s="474" t="s">
        <v>178</v>
      </c>
      <c r="G57" s="475" t="s">
        <v>389</v>
      </c>
      <c r="H57" s="474" t="s">
        <v>390</v>
      </c>
      <c r="I57" s="474" t="s">
        <v>391</v>
      </c>
      <c r="J57" s="476" t="s">
        <v>238</v>
      </c>
      <c r="K57" s="476" t="s">
        <v>183</v>
      </c>
      <c r="L57" s="476">
        <v>2</v>
      </c>
      <c r="M57" s="450" t="str">
        <f>IF(L57&lt;=0,"",IF(L57&lt;=2,"Muy Baja",IF(L57&lt;=24,"Baja",IF(L57&lt;=500,"Media",IF(L57&lt;=5000,"Alta","Muy Alta")))))</f>
        <v>Muy Baja</v>
      </c>
      <c r="N57" s="451">
        <f t="shared" si="15"/>
        <v>0.2</v>
      </c>
      <c r="O57" s="452" t="s">
        <v>332</v>
      </c>
      <c r="P57" s="451" t="str">
        <f>IF(NOT(ISERROR(MATCH(O57,'Tabla Impacto'!$B$222:$B$224,0))),'Tabla Impacto'!$F$224&amp;"Por favor no seleccionar los criterios de impacto(Afectación Económica o presupuestal y Pérdida Reputacional)",O57)</f>
        <v xml:space="preserve">     El riesgo afecta la imagen de alguna área de la organización</v>
      </c>
      <c r="Q57" s="453" t="str">
        <f>IF(OR(P57='[1]Tabla Impacto'!$C$12,P57='[1]Tabla Impacto'!$D$12),"Leve",IF(OR(P57='[1]Tabla Impacto'!$C$13,P57='[1]Tabla Impacto'!$D$13),"Menor",IF(OR(P57='[1]Tabla Impacto'!$C$14,P57='[1]Tabla Impacto'!$D$14),"Moderado",IF(OR(P57='[1]Tabla Impacto'!$C$15,P57='[1]Tabla Impacto'!$D$15),"Mayor",IF(OR(P57='[1]Tabla Impacto'!$C$16,P57='[1]Tabla Impacto'!$D$16),"Catastrófico","")))))</f>
        <v>Leve</v>
      </c>
      <c r="R57" s="452">
        <f t="shared" si="0"/>
        <v>0.2</v>
      </c>
      <c r="S57" s="454" t="str">
        <f t="shared" si="1"/>
        <v>Bajo</v>
      </c>
      <c r="T57" s="457">
        <v>1</v>
      </c>
      <c r="U57" s="477" t="s">
        <v>392</v>
      </c>
      <c r="V57" s="457" t="str">
        <f t="shared" si="2"/>
        <v>Probabilidad</v>
      </c>
      <c r="W57" s="458" t="s">
        <v>187</v>
      </c>
      <c r="X57" s="458" t="s">
        <v>188</v>
      </c>
      <c r="Y57" s="459" t="str">
        <f t="shared" si="3"/>
        <v>40%</v>
      </c>
      <c r="Z57" s="458" t="s">
        <v>222</v>
      </c>
      <c r="AA57" s="458" t="s">
        <v>190</v>
      </c>
      <c r="AB57" s="458" t="s">
        <v>191</v>
      </c>
      <c r="AC57" s="460">
        <f>IFERROR(IF(AND(V56="Probabilidad",V57="Probabilidad"),(AE56-(+AE56*Y57)),IF(V57="Probabilidad",(N56-(+N56*Y57)),IF(V57="Impacto",AE56,""))),"")</f>
        <v>0.3</v>
      </c>
      <c r="AD57" s="461" t="str">
        <f t="shared" si="4"/>
        <v>Baja</v>
      </c>
      <c r="AE57" s="462">
        <f t="shared" si="5"/>
        <v>0.3</v>
      </c>
      <c r="AF57" s="461" t="str">
        <f t="shared" si="6"/>
        <v>Moderado</v>
      </c>
      <c r="AG57" s="462">
        <f>IFERROR(IF(AND(V56="Impacto",V57="Impacto"),(AG50-(+AG50*Y57)),IF(V57="Impacto",($R$56-(+$R$56*Y57)),IF(V57="Probabilidad",AG50,""))),"")</f>
        <v>0.6</v>
      </c>
      <c r="AH57" s="463" t="str">
        <f t="shared" si="7"/>
        <v>Moderado</v>
      </c>
      <c r="AI57" s="464" t="s">
        <v>192</v>
      </c>
      <c r="AJ57" s="476"/>
      <c r="AK57" s="476"/>
      <c r="AL57" s="480"/>
      <c r="AM57" s="467"/>
      <c r="AN57" s="468"/>
    </row>
    <row r="58" spans="1:40" ht="151.5" customHeight="1" x14ac:dyDescent="0.2">
      <c r="A58" s="469">
        <v>28</v>
      </c>
      <c r="B58" s="469" t="s">
        <v>388</v>
      </c>
      <c r="C58" s="470" t="s">
        <v>383</v>
      </c>
      <c r="D58" s="447" t="str">
        <f>IFERROR(INDEX('Base de datos gestión'!$D$28:$D$50,MATCH(C58,'Base de datos gestión'!$C$28:$C$50,0)), 0)</f>
        <v>Facilitar los mecanismos para la implementación de la política de servicio al ciudadano de la entidad, de manera articulada con las demás dependencias del INM, que incluya el cumplimiento de los tiempos y respuestas a las peticiones de los ciudadanos, así como, la medición del nivel de satisfacción en los contactos con el ciudadano y cada uno de los servicios prestados a los clientes, de forma permanente y dirigido a todos los grupos de valor del INM, para mejorar la relación Estado – Ciudadano y el entendimiento de la metrología como bien público.
Este proceso está relacionado con el Objetivo Estratégico: Brindar herramientas que faciliten la diseminación de la trazabilidad y del conocimiento en metrología, para contribuir al aseguramiento de la calidad de los bienes y servicios que se producen y comercializan en el país.</v>
      </c>
      <c r="E58" s="447" t="str">
        <f>IFERROR(INDEX('Base de datos gestión'!$E$28:$E$50,MATCH(C58,'Base de datos gestión'!$C$28:$C$50,0)), 0)</f>
        <v>Inicia con la definición y planificación de las estrategias que faciliten el cumplimiento de la política de servicio al ciudadano y finaliza con reportar las actividades realizadas en el proceso de Servicio al ciudadano de acuerdo con el Plan de Acción e implementar las acciones de mejoramiento detectadas en el proceso por diferentes fuentes. Incluye la evaluación a la respuesta dada y al servicio prestado y/o comercializado.</v>
      </c>
      <c r="F58" s="474" t="s">
        <v>178</v>
      </c>
      <c r="G58" s="475" t="s">
        <v>389</v>
      </c>
      <c r="H58" s="474" t="s">
        <v>390</v>
      </c>
      <c r="I58" s="474" t="s">
        <v>391</v>
      </c>
      <c r="J58" s="476" t="s">
        <v>238</v>
      </c>
      <c r="K58" s="476" t="s">
        <v>183</v>
      </c>
      <c r="L58" s="476">
        <v>2</v>
      </c>
      <c r="M58" s="450" t="str">
        <f t="shared" ref="M58:M61" si="37">IF(L58&lt;=0,"",IF(L58&lt;=2,"Muy Baja",IF(L58&lt;=24,"Baja",IF(L58&lt;=500,"Media",IF(L58&lt;=5000,"Alta","Muy Alta")))))</f>
        <v>Muy Baja</v>
      </c>
      <c r="N58" s="451">
        <f t="shared" si="15"/>
        <v>0.2</v>
      </c>
      <c r="O58" s="452" t="s">
        <v>332</v>
      </c>
      <c r="P58" s="451" t="str">
        <f>IF(NOT(ISERROR(MATCH(O58,'Tabla Impacto'!$B$222:$B$224,0))),'Tabla Impacto'!$F$224&amp;"Por favor no seleccionar los criterios de impacto(Afectación Económica o presupuestal y Pérdida Reputacional)",O58)</f>
        <v xml:space="preserve">     El riesgo afecta la imagen de alguna área de la organización</v>
      </c>
      <c r="Q58" s="453" t="str">
        <f>IF(OR(P58='[1]Tabla Impacto'!$C$12,P58='[1]Tabla Impacto'!$D$12),"Leve",IF(OR(P58='[1]Tabla Impacto'!$C$13,P58='[1]Tabla Impacto'!$D$13),"Menor",IF(OR(P58='[1]Tabla Impacto'!$C$14,P58='[1]Tabla Impacto'!$D$14),"Moderado",IF(OR(P58='[1]Tabla Impacto'!$C$15,P58='[1]Tabla Impacto'!$D$15),"Mayor",IF(OR(P58='[1]Tabla Impacto'!$C$16,P58='[1]Tabla Impacto'!$D$16),"Catastrófico","")))))</f>
        <v>Leve</v>
      </c>
      <c r="R58" s="452">
        <f t="shared" si="0"/>
        <v>0.2</v>
      </c>
      <c r="S58" s="454" t="str">
        <f t="shared" si="1"/>
        <v>Bajo</v>
      </c>
      <c r="T58" s="457">
        <v>2</v>
      </c>
      <c r="U58" s="477" t="s">
        <v>393</v>
      </c>
      <c r="V58" s="457" t="str">
        <f t="shared" si="2"/>
        <v>Probabilidad</v>
      </c>
      <c r="W58" s="458" t="s">
        <v>228</v>
      </c>
      <c r="X58" s="458" t="s">
        <v>188</v>
      </c>
      <c r="Y58" s="459" t="str">
        <f t="shared" si="3"/>
        <v>30%</v>
      </c>
      <c r="Z58" s="458" t="s">
        <v>222</v>
      </c>
      <c r="AA58" s="458" t="s">
        <v>190</v>
      </c>
      <c r="AB58" s="458" t="s">
        <v>191</v>
      </c>
      <c r="AC58" s="460">
        <f>IFERROR(IF(AND(V57="Probabilidad",V58="Probabilidad"),(AE57-(+AE57*Y58)),IF(AND(V57="Impacto",V58="Probabilidad"),(AE56-(+AE56*Y58)),IF(V58="Impacto",AE57,""))),"")</f>
        <v>0.21</v>
      </c>
      <c r="AD58" s="461" t="str">
        <f t="shared" si="4"/>
        <v>Baja</v>
      </c>
      <c r="AE58" s="462">
        <f t="shared" si="5"/>
        <v>0.21</v>
      </c>
      <c r="AF58" s="461" t="str">
        <f t="shared" si="6"/>
        <v>Moderado</v>
      </c>
      <c r="AG58" s="462">
        <f>IFERROR(IF(AND(V57="Impacto",V58="Impacto"),(AG57-(+AG57*Y58)),IF(AND(V57="Probabilidad",V58="Impacto"),(AG56-(+AG56*Y58)),IF(V58="Probabilidad",AG57,""))),"")</f>
        <v>0.6</v>
      </c>
      <c r="AH58" s="463" t="str">
        <f t="shared" si="7"/>
        <v>Moderado</v>
      </c>
      <c r="AI58" s="464" t="s">
        <v>192</v>
      </c>
      <c r="AJ58" s="482"/>
      <c r="AK58" s="482"/>
      <c r="AL58" s="483"/>
      <c r="AM58" s="467"/>
      <c r="AN58" s="468"/>
    </row>
    <row r="59" spans="1:40" ht="151.5" customHeight="1" x14ac:dyDescent="0.2">
      <c r="A59" s="469">
        <v>29</v>
      </c>
      <c r="B59" s="469" t="s">
        <v>394</v>
      </c>
      <c r="C59" s="470" t="s">
        <v>383</v>
      </c>
      <c r="D59" s="447" t="str">
        <f>IFERROR(INDEX('Base de datos gestión'!$D$28:$D$50,MATCH(C59,'Base de datos gestión'!$C$28:$C$50,0)), 0)</f>
        <v>Facilitar los mecanismos para la implementación de la política de servicio al ciudadano de la entidad, de manera articulada con las demás dependencias del INM, que incluya el cumplimiento de los tiempos y respuestas a las peticiones de los ciudadanos, así como, la medición del nivel de satisfacción en los contactos con el ciudadano y cada uno de los servicios prestados a los clientes, de forma permanente y dirigido a todos los grupos de valor del INM, para mejorar la relación Estado – Ciudadano y el entendimiento de la metrología como bien público.
Este proceso está relacionado con el Objetivo Estratégico: Brindar herramientas que faciliten la diseminación de la trazabilidad y del conocimiento en metrología, para contribuir al aseguramiento de la calidad de los bienes y servicios que se producen y comercializan en el país.</v>
      </c>
      <c r="E59" s="447" t="str">
        <f>IFERROR(INDEX('Base de datos gestión'!$E$28:$E$50,MATCH(C59,'Base de datos gestión'!$C$28:$C$50,0)), 0)</f>
        <v>Inicia con la definición y planificación de las estrategias que faciliten el cumplimiento de la política de servicio al ciudadano y finaliza con reportar las actividades realizadas en el proceso de Servicio al ciudadano de acuerdo con el Plan de Acción e implementar las acciones de mejoramiento detectadas en el proceso por diferentes fuentes. Incluye la evaluación a la respuesta dada y al servicio prestado y/o comercializado.</v>
      </c>
      <c r="F59" s="474" t="s">
        <v>178</v>
      </c>
      <c r="G59" s="475" t="s">
        <v>395</v>
      </c>
      <c r="H59" s="474" t="s">
        <v>396</v>
      </c>
      <c r="I59" s="474" t="s">
        <v>397</v>
      </c>
      <c r="J59" s="476" t="s">
        <v>238</v>
      </c>
      <c r="K59" s="476" t="s">
        <v>258</v>
      </c>
      <c r="L59" s="476">
        <v>1500</v>
      </c>
      <c r="M59" s="450" t="str">
        <f t="shared" si="37"/>
        <v>Alta</v>
      </c>
      <c r="N59" s="451">
        <f t="shared" si="15"/>
        <v>0.8</v>
      </c>
      <c r="O59" s="452" t="s">
        <v>214</v>
      </c>
      <c r="P59" s="451" t="str">
        <f>IF(NOT(ISERROR(MATCH(O59,'Tabla Impacto'!$B$222:$B$224,0))),'Tabla Impacto'!$F$224&amp;"Por favor no seleccionar los criterios de impacto(Afectación Económica o presupuestal y Pérdida Reputacional)",O59)</f>
        <v xml:space="preserve">     El riesgo afecta la imagen de la entidad con algunos usuarios de relevancia frente al logro de los objetivos</v>
      </c>
      <c r="Q59" s="453" t="str">
        <f>IF(OR(P59='[1]Tabla Impacto'!$C$12,P59='[1]Tabla Impacto'!$D$12),"Leve",IF(OR(P59='[1]Tabla Impacto'!$C$13,P59='[1]Tabla Impacto'!$D$13),"Menor",IF(OR(P59='[1]Tabla Impacto'!$C$14,P59='[1]Tabla Impacto'!$D$14),"Moderado",IF(OR(P59='[1]Tabla Impacto'!$C$15,P59='[1]Tabla Impacto'!$D$15),"Mayor",IF(OR(P59='[1]Tabla Impacto'!$C$16,P59='[1]Tabla Impacto'!$D$16),"Catastrófico","")))))</f>
        <v>Moderado</v>
      </c>
      <c r="R59" s="452">
        <f t="shared" si="0"/>
        <v>0.6</v>
      </c>
      <c r="S59" s="454" t="str">
        <f t="shared" si="1"/>
        <v>Alto</v>
      </c>
      <c r="T59" s="457">
        <v>1</v>
      </c>
      <c r="U59" s="477" t="s">
        <v>398</v>
      </c>
      <c r="V59" s="457" t="str">
        <f t="shared" si="2"/>
        <v>Probabilidad</v>
      </c>
      <c r="W59" s="458" t="s">
        <v>228</v>
      </c>
      <c r="X59" s="458" t="s">
        <v>188</v>
      </c>
      <c r="Y59" s="459" t="str">
        <f t="shared" si="3"/>
        <v>30%</v>
      </c>
      <c r="Z59" s="458" t="s">
        <v>222</v>
      </c>
      <c r="AA59" s="458" t="s">
        <v>190</v>
      </c>
      <c r="AB59" s="458" t="s">
        <v>191</v>
      </c>
      <c r="AC59" s="460">
        <f>IFERROR(IF(AND(V58="Probabilidad",V59="Probabilidad"),(AE58-(+AE58*Y59)),IF(AND(V58="Impacto",V59="Probabilidad"),(AE57-(+AE57*Y59)),IF(V59="Impacto",AE58,""))),"")</f>
        <v>0.14699999999999999</v>
      </c>
      <c r="AD59" s="461" t="str">
        <f t="shared" si="4"/>
        <v>Muy Baja</v>
      </c>
      <c r="AE59" s="462">
        <f t="shared" si="5"/>
        <v>0.14699999999999999</v>
      </c>
      <c r="AF59" s="461" t="str">
        <f t="shared" si="6"/>
        <v>Moderado</v>
      </c>
      <c r="AG59" s="462">
        <f>IFERROR(IF(AND(V58="Impacto",V59="Impacto"),(AG58-(+AG58*Y59)),IF(AND(V58="Probabilidad",V59="Impacto"),(AG57-(+AG57*Y59)),IF(V59="Probabilidad",AG58,""))),"")</f>
        <v>0.6</v>
      </c>
      <c r="AH59" s="463" t="str">
        <f t="shared" si="7"/>
        <v>Moderado</v>
      </c>
      <c r="AI59" s="464" t="s">
        <v>192</v>
      </c>
      <c r="AJ59" s="465"/>
      <c r="AK59" s="465"/>
      <c r="AL59" s="466"/>
      <c r="AM59" s="467"/>
      <c r="AN59" s="468"/>
    </row>
    <row r="60" spans="1:40" ht="151.5" customHeight="1" x14ac:dyDescent="0.2">
      <c r="A60" s="469">
        <v>29</v>
      </c>
      <c r="B60" s="469" t="s">
        <v>394</v>
      </c>
      <c r="C60" s="470" t="s">
        <v>383</v>
      </c>
      <c r="D60" s="447" t="str">
        <f>IFERROR(INDEX('Base de datos gestión'!$D$28:$D$50,MATCH(C60,'Base de datos gestión'!$C$28:$C$50,0)), 0)</f>
        <v>Facilitar los mecanismos para la implementación de la política de servicio al ciudadano de la entidad, de manera articulada con las demás dependencias del INM, que incluya el cumplimiento de los tiempos y respuestas a las peticiones de los ciudadanos, así como, la medición del nivel de satisfacción en los contactos con el ciudadano y cada uno de los servicios prestados a los clientes, de forma permanente y dirigido a todos los grupos de valor del INM, para mejorar la relación Estado – Ciudadano y el entendimiento de la metrología como bien público.
Este proceso está relacionado con el Objetivo Estratégico: Brindar herramientas que faciliten la diseminación de la trazabilidad y del conocimiento en metrología, para contribuir al aseguramiento de la calidad de los bienes y servicios que se producen y comercializan en el país.</v>
      </c>
      <c r="E60" s="447" t="str">
        <f>IFERROR(INDEX('Base de datos gestión'!$E$28:$E$50,MATCH(C60,'Base de datos gestión'!$C$28:$C$50,0)), 0)</f>
        <v>Inicia con la definición y planificación de las estrategias que faciliten el cumplimiento de la política de servicio al ciudadano y finaliza con reportar las actividades realizadas en el proceso de Servicio al ciudadano de acuerdo con el Plan de Acción e implementar las acciones de mejoramiento detectadas en el proceso por diferentes fuentes. Incluye la evaluación a la respuesta dada y al servicio prestado y/o comercializado.</v>
      </c>
      <c r="F60" s="474" t="s">
        <v>178</v>
      </c>
      <c r="G60" s="475" t="s">
        <v>395</v>
      </c>
      <c r="H60" s="474" t="s">
        <v>396</v>
      </c>
      <c r="I60" s="474" t="s">
        <v>397</v>
      </c>
      <c r="J60" s="476" t="s">
        <v>238</v>
      </c>
      <c r="K60" s="476" t="s">
        <v>258</v>
      </c>
      <c r="L60" s="476">
        <v>1500</v>
      </c>
      <c r="M60" s="450" t="str">
        <f t="shared" si="37"/>
        <v>Alta</v>
      </c>
      <c r="N60" s="451">
        <f t="shared" si="15"/>
        <v>0.8</v>
      </c>
      <c r="O60" s="452" t="s">
        <v>214</v>
      </c>
      <c r="P60" s="451" t="str">
        <f>IF(NOT(ISERROR(MATCH(O60,'Tabla Impacto'!$B$222:$B$224,0))),'Tabla Impacto'!$F$224&amp;"Por favor no seleccionar los criterios de impacto(Afectación Económica o presupuestal y Pérdida Reputacional)",O60)</f>
        <v xml:space="preserve">     El riesgo afecta la imagen de la entidad con algunos usuarios de relevancia frente al logro de los objetivos</v>
      </c>
      <c r="Q60" s="453" t="str">
        <f>IF(OR(P60='[1]Tabla Impacto'!$C$12,P60='[1]Tabla Impacto'!$D$12),"Leve",IF(OR(P60='[1]Tabla Impacto'!$C$13,P60='[1]Tabla Impacto'!$D$13),"Menor",IF(OR(P60='[1]Tabla Impacto'!$C$14,P60='[1]Tabla Impacto'!$D$14),"Moderado",IF(OR(P60='[1]Tabla Impacto'!$C$15,P60='[1]Tabla Impacto'!$D$15),"Mayor",IF(OR(P60='[1]Tabla Impacto'!$C$16,P60='[1]Tabla Impacto'!$D$16),"Catastrófico","")))))</f>
        <v>Moderado</v>
      </c>
      <c r="R60" s="452">
        <f t="shared" si="0"/>
        <v>0.6</v>
      </c>
      <c r="S60" s="454" t="str">
        <f t="shared" si="1"/>
        <v>Alto</v>
      </c>
      <c r="T60" s="457">
        <v>2</v>
      </c>
      <c r="U60" s="477" t="s">
        <v>401</v>
      </c>
      <c r="V60" s="457" t="str">
        <f t="shared" si="2"/>
        <v>Probabilidad</v>
      </c>
      <c r="W60" s="458" t="s">
        <v>228</v>
      </c>
      <c r="X60" s="458" t="s">
        <v>188</v>
      </c>
      <c r="Y60" s="459" t="str">
        <f t="shared" si="3"/>
        <v>30%</v>
      </c>
      <c r="Z60" s="458" t="s">
        <v>222</v>
      </c>
      <c r="AA60" s="458" t="s">
        <v>190</v>
      </c>
      <c r="AB60" s="458" t="s">
        <v>191</v>
      </c>
      <c r="AC60" s="460">
        <f>IFERROR(IF(AND(V59="Probabilidad",V60="Probabilidad"),(AE59-(+AE59*Y60)),IF(AND(V59="Impacto",V60="Probabilidad"),(AE58-(+AE58*Y60)),IF(V60="Impacto",AE59,""))),"")</f>
        <v>0.10289999999999999</v>
      </c>
      <c r="AD60" s="461" t="str">
        <f t="shared" si="4"/>
        <v>Muy Baja</v>
      </c>
      <c r="AE60" s="462">
        <f t="shared" si="5"/>
        <v>0.10289999999999999</v>
      </c>
      <c r="AF60" s="461" t="str">
        <f t="shared" si="6"/>
        <v>Moderado</v>
      </c>
      <c r="AG60" s="462">
        <f>IFERROR(IF(AND(V59="Impacto",V60="Impacto"),(AG59-(+AG59*Y60)),IF(AND(V59="Probabilidad",V60="Impacto"),(AG58-(+AG58*Y60)),IF(V60="Probabilidad",AG59,""))),"")</f>
        <v>0.6</v>
      </c>
      <c r="AH60" s="463" t="str">
        <f t="shared" si="7"/>
        <v>Moderado</v>
      </c>
      <c r="AI60" s="464" t="s">
        <v>192</v>
      </c>
      <c r="AJ60" s="465"/>
      <c r="AK60" s="465"/>
      <c r="AL60" s="466"/>
      <c r="AM60" s="467"/>
      <c r="AN60" s="468"/>
    </row>
    <row r="61" spans="1:40" ht="409.5" x14ac:dyDescent="0.2">
      <c r="A61" s="478">
        <v>29</v>
      </c>
      <c r="B61" s="478" t="s">
        <v>394</v>
      </c>
      <c r="C61" s="479" t="s">
        <v>383</v>
      </c>
      <c r="D61" s="447" t="str">
        <f>IFERROR(INDEX('Base de datos gestión'!$D$28:$D$50,MATCH(C61,'Base de datos gestión'!$C$28:$C$50,0)), 0)</f>
        <v>Facilitar los mecanismos para la implementación de la política de servicio al ciudadano de la entidad, de manera articulada con las demás dependencias del INM, que incluya el cumplimiento de los tiempos y respuestas a las peticiones de los ciudadanos, así como, la medición del nivel de satisfacción en los contactos con el ciudadano y cada uno de los servicios prestados a los clientes, de forma permanente y dirigido a todos los grupos de valor del INM, para mejorar la relación Estado – Ciudadano y el entendimiento de la metrología como bien público.
Este proceso está relacionado con el Objetivo Estratégico: Brindar herramientas que faciliten la diseminación de la trazabilidad y del conocimiento en metrología, para contribuir al aseguramiento de la calidad de los bienes y servicios que se producen y comercializan en el país.</v>
      </c>
      <c r="E61" s="447" t="str">
        <f>IFERROR(INDEX('Base de datos gestión'!$E$28:$E$50,MATCH(C61,'Base de datos gestión'!$C$28:$C$50,0)), 0)</f>
        <v>Inicia con la definición y planificación de las estrategias que faciliten el cumplimiento de la política de servicio al ciudadano y finaliza con reportar las actividades realizadas en el proceso de Servicio al ciudadano de acuerdo con el Plan de Acción e implementar las acciones de mejoramiento detectadas en el proceso por diferentes fuentes. Incluye la evaluación a la respuesta dada y al servicio prestado y/o comercializado.</v>
      </c>
      <c r="F61" s="474" t="s">
        <v>178</v>
      </c>
      <c r="G61" s="475" t="s">
        <v>395</v>
      </c>
      <c r="H61" s="474" t="s">
        <v>396</v>
      </c>
      <c r="I61" s="474" t="s">
        <v>397</v>
      </c>
      <c r="J61" s="476" t="s">
        <v>238</v>
      </c>
      <c r="K61" s="476" t="s">
        <v>258</v>
      </c>
      <c r="L61" s="476">
        <v>1500</v>
      </c>
      <c r="M61" s="450" t="str">
        <f t="shared" si="37"/>
        <v>Alta</v>
      </c>
      <c r="N61" s="451">
        <f t="shared" si="15"/>
        <v>0.8</v>
      </c>
      <c r="O61" s="452" t="s">
        <v>214</v>
      </c>
      <c r="P61" s="451" t="str">
        <f>IF(NOT(ISERROR(MATCH(O61,'Tabla Impacto'!$B$222:$B$224,0))),'Tabla Impacto'!$F$224&amp;"Por favor no seleccionar los criterios de impacto(Afectación Económica o presupuestal y Pérdida Reputacional)",O61)</f>
        <v xml:space="preserve">     El riesgo afecta la imagen de la entidad con algunos usuarios de relevancia frente al logro de los objetivos</v>
      </c>
      <c r="Q61" s="453" t="str">
        <f>IF(OR(P61='[1]Tabla Impacto'!$C$12,P61='[1]Tabla Impacto'!$D$12),"Leve",IF(OR(P61='[1]Tabla Impacto'!$C$13,P61='[1]Tabla Impacto'!$D$13),"Menor",IF(OR(P61='[1]Tabla Impacto'!$C$14,P61='[1]Tabla Impacto'!$D$14),"Moderado",IF(OR(P61='[1]Tabla Impacto'!$C$15,P61='[1]Tabla Impacto'!$D$15),"Mayor",IF(OR(P61='[1]Tabla Impacto'!$C$16,P61='[1]Tabla Impacto'!$D$16),"Catastrófico","")))))</f>
        <v>Moderado</v>
      </c>
      <c r="R61" s="452">
        <f t="shared" si="0"/>
        <v>0.6</v>
      </c>
      <c r="S61" s="454" t="str">
        <f t="shared" si="1"/>
        <v>Alto</v>
      </c>
      <c r="T61" s="457">
        <v>3</v>
      </c>
      <c r="U61" s="477" t="s">
        <v>402</v>
      </c>
      <c r="V61" s="457" t="str">
        <f t="shared" si="2"/>
        <v>Impacto</v>
      </c>
      <c r="W61" s="458" t="s">
        <v>209</v>
      </c>
      <c r="X61" s="458" t="s">
        <v>188</v>
      </c>
      <c r="Y61" s="459" t="str">
        <f t="shared" si="3"/>
        <v>25%</v>
      </c>
      <c r="Z61" s="458" t="s">
        <v>222</v>
      </c>
      <c r="AA61" s="458" t="s">
        <v>190</v>
      </c>
      <c r="AB61" s="458" t="s">
        <v>191</v>
      </c>
      <c r="AC61" s="460">
        <f>IFERROR(IF(AND(V60="Probabilidad",V61="Probabilidad"),(AE60-(+AE60*Y61)),IF(AND(V60="Impacto",V61="Probabilidad"),(AE59-(+AE59*Y61)),IF(V61="Impacto",AE60,""))),"")</f>
        <v>0.10289999999999999</v>
      </c>
      <c r="AD61" s="461" t="str">
        <f t="shared" si="4"/>
        <v>Muy Baja</v>
      </c>
      <c r="AE61" s="462">
        <f t="shared" si="5"/>
        <v>0.10289999999999999</v>
      </c>
      <c r="AF61" s="461" t="str">
        <f t="shared" si="6"/>
        <v>Moderado</v>
      </c>
      <c r="AG61" s="462">
        <f>IFERROR(IF(AND(V60="Impacto",V61="Impacto"),(AG60-(+AG60*Y61)),IF(AND(V60="Probabilidad",V61="Impacto"),(AG59-(+AG59*Y61)),IF(V61="Probabilidad",AG60,""))),"")</f>
        <v>0.44999999999999996</v>
      </c>
      <c r="AH61" s="463" t="str">
        <f t="shared" si="7"/>
        <v>Moderado</v>
      </c>
      <c r="AI61" s="464" t="s">
        <v>192</v>
      </c>
      <c r="AJ61" s="465"/>
      <c r="AK61" s="465"/>
      <c r="AL61" s="466"/>
      <c r="AM61" s="467"/>
      <c r="AN61" s="468"/>
    </row>
    <row r="62" spans="1:40" ht="225" customHeight="1" x14ac:dyDescent="0.2">
      <c r="A62" s="446">
        <v>30</v>
      </c>
      <c r="B62" s="446" t="s">
        <v>403</v>
      </c>
      <c r="C62" s="447" t="s">
        <v>404</v>
      </c>
      <c r="D62" s="447" t="str">
        <f>IFERROR(INDEX('Base de datos gestión'!$D$28:$D$50,MATCH(C62,'Base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62" s="447" t="str">
        <f>IFERROR(INDEX('Base de datos gestión'!$E$28:$E$50,MATCH(C62,'Base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62" s="474" t="s">
        <v>234</v>
      </c>
      <c r="G62" s="475" t="s">
        <v>405</v>
      </c>
      <c r="H62" s="474" t="s">
        <v>406</v>
      </c>
      <c r="I62" s="474" t="s">
        <v>407</v>
      </c>
      <c r="J62" s="476" t="s">
        <v>408</v>
      </c>
      <c r="K62" s="476" t="s">
        <v>258</v>
      </c>
      <c r="L62" s="476">
        <v>50</v>
      </c>
      <c r="M62" s="450" t="str">
        <f>IF(L62&lt;=0,"",IF(L62&lt;=2,"Muy Baja",IF(L62&lt;=24,"Baja",IF(L62&lt;=500,"Media",IF(L62&lt;=5000,"Alta","Muy Alta")))))</f>
        <v>Media</v>
      </c>
      <c r="N62" s="451">
        <f t="shared" si="15"/>
        <v>0.6</v>
      </c>
      <c r="O62" s="452" t="s">
        <v>214</v>
      </c>
      <c r="P62" s="451" t="str">
        <f>IF(NOT(ISERROR(MATCH(O62,'Tabla Impacto'!$B$222:$B$224,0))),'Tabla Impacto'!$F$224&amp;"Por favor no seleccionar los criterios de impacto(Afectación Económica o presupuestal y Pérdida Reputacional)",O62)</f>
        <v xml:space="preserve">     El riesgo afecta la imagen de la entidad con algunos usuarios de relevancia frente al logro de los objetivos</v>
      </c>
      <c r="Q62" s="453" t="s">
        <v>8</v>
      </c>
      <c r="R62" s="452">
        <f t="shared" si="0"/>
        <v>0.6</v>
      </c>
      <c r="S62" s="454" t="str">
        <f t="shared" si="1"/>
        <v>Moderado</v>
      </c>
      <c r="T62" s="457">
        <v>1</v>
      </c>
      <c r="U62" s="506" t="s">
        <v>409</v>
      </c>
      <c r="V62" s="457" t="str">
        <f t="shared" si="2"/>
        <v>Probabilidad</v>
      </c>
      <c r="W62" s="458" t="s">
        <v>187</v>
      </c>
      <c r="X62" s="458" t="s">
        <v>188</v>
      </c>
      <c r="Y62" s="459" t="str">
        <f t="shared" ref="Y62:Y125" si="38">IF(AND(W62="Preventivo",X62="Automático"),"50%",IF(AND(W62="Preventivo",X62="Manual"),"40%",IF(AND(W62="Detectivo",X62="Automático"),"40%",IF(AND(W62="Detectivo",X62="Manual"),"30%",IF(AND(W62="Correctivo",X62="Automático"),"35%",IF(AND(W62="Correctivo",X62="Manual"),"25%",""))))))</f>
        <v>40%</v>
      </c>
      <c r="Z62" s="458" t="s">
        <v>222</v>
      </c>
      <c r="AA62" s="458" t="s">
        <v>190</v>
      </c>
      <c r="AB62" s="458" t="s">
        <v>191</v>
      </c>
      <c r="AC62" s="460">
        <f>IFERROR(IF(V62="Probabilidad",(N62-(+N62*Y62)),IF(V62="Impacto",N62,"")),"")</f>
        <v>0.36</v>
      </c>
      <c r="AD62" s="461" t="str">
        <f t="shared" ref="AD62:AD125" si="39">IFERROR(IF(AC62="","",IF(AC62&lt;=0.2,"Muy Baja",IF(AC62&lt;=0.4,"Baja",IF(AC62&lt;=0.6,"Media",IF(AC62&lt;=0.8,"Alta","Muy Alta"))))),"")</f>
        <v>Baja</v>
      </c>
      <c r="AE62" s="462">
        <f t="shared" ref="AE62:AE125" si="40">+AC62</f>
        <v>0.36</v>
      </c>
      <c r="AF62" s="461" t="str">
        <f t="shared" ref="AF62:AF125" si="41">IFERROR(IF(AG62="","",IF(AG62&lt;=0.2,"Leve",IF(AG62&lt;=0.4,"Menor",IF(AG62&lt;=0.6,"Moderado",IF(AG62&lt;=0.8,"Mayor","Catastrófico"))))),"")</f>
        <v>Moderado</v>
      </c>
      <c r="AG62" s="462">
        <f>IFERROR(IF(V62="Impacto",(R62-(+R62*Y62)),IF(V62="Probabilidad",R62,"")),"")</f>
        <v>0.6</v>
      </c>
      <c r="AH62" s="463" t="str">
        <f t="shared" ref="AH62:AH125" si="42">IFERROR(IF(OR(AND(AD62="Muy Baja",AF62="Leve"),AND(AD62="Muy Baja",AF62="Menor"),AND(AD62="Baja",AF62="Leve")),"Bajo",IF(OR(AND(AD62="Muy baja",AF62="Moderado"),AND(AD62="Baja",AF62="Menor"),AND(AD62="Baja",AF62="Moderado"),AND(AD62="Media",AF62="Leve"),AND(AD62="Media",AF62="Menor"),AND(AD62="Media",AF62="Moderado"),AND(AD62="Alta",AF62="Leve"),AND(AD62="Alta",AF62="Menor")),"Moderado",IF(OR(AND(AD62="Muy Baja",AF62="Mayor"),AND(AD62="Baja",AF62="Mayor"),AND(AD62="Media",AF62="Mayor"),AND(AD62="Alta",AF62="Moderado"),AND(AD62="Alta",AF62="Mayor"),AND(AD62="Muy Alta",AF62="Leve"),AND(AD62="Muy Alta",AF62="Menor"),AND(AD62="Muy Alta",AF62="Moderado"),AND(AD62="Muy Alta",AF62="Mayor")),"Alto",IF(OR(AND(AD62="Muy Baja",AF62="Catastrófico"),AND(AD62="Baja",AF62="Catastrófico"),AND(AD62="Media",AF62="Catastrófico"),AND(AD62="Alta",AF62="Catastrófico"),AND(AD62="Muy Alta",AF62="Catastrófico")),"Extremo","")))),"")</f>
        <v>Moderado</v>
      </c>
      <c r="AI62" s="464" t="s">
        <v>192</v>
      </c>
      <c r="AJ62" s="465"/>
      <c r="AK62" s="465"/>
      <c r="AL62" s="466"/>
      <c r="AM62" s="467"/>
      <c r="AN62" s="468"/>
    </row>
    <row r="63" spans="1:40" ht="178.5" customHeight="1" x14ac:dyDescent="0.2">
      <c r="A63" s="469">
        <v>30</v>
      </c>
      <c r="B63" s="469" t="s">
        <v>403</v>
      </c>
      <c r="C63" s="470" t="s">
        <v>404</v>
      </c>
      <c r="D63" s="447" t="str">
        <f>IFERROR(INDEX('Base de datos gestión'!$D$28:$D$50,MATCH(C63,'Base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63" s="447" t="str">
        <f>IFERROR(INDEX('Base de datos gestión'!$E$28:$E$50,MATCH(C63,'Base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63" s="474" t="s">
        <v>234</v>
      </c>
      <c r="G63" s="475" t="s">
        <v>405</v>
      </c>
      <c r="H63" s="474" t="s">
        <v>406</v>
      </c>
      <c r="I63" s="474" t="s">
        <v>407</v>
      </c>
      <c r="J63" s="476" t="s">
        <v>408</v>
      </c>
      <c r="K63" s="476" t="s">
        <v>258</v>
      </c>
      <c r="L63" s="476">
        <v>50</v>
      </c>
      <c r="M63" s="450" t="str">
        <f>IF(L63&lt;=0,"",IF(L63&lt;=2,"Muy Baja",IF(L63&lt;=24,"Baja",IF(L63&lt;=500,"Media",IF(L63&lt;=5000,"Alta","Muy Alta")))))</f>
        <v>Media</v>
      </c>
      <c r="N63" s="451">
        <f t="shared" si="15"/>
        <v>0.6</v>
      </c>
      <c r="O63" s="452" t="s">
        <v>214</v>
      </c>
      <c r="P63" s="451" t="str">
        <f>IF(NOT(ISERROR(MATCH(O63,'Tabla Impacto'!$B$222:$B$224,0))),'Tabla Impacto'!$F$224&amp;"Por favor no seleccionar los criterios de impacto(Afectación Económica o presupuestal y Pérdida Reputacional)",O63)</f>
        <v xml:space="preserve">     El riesgo afecta la imagen de la entidad con algunos usuarios de relevancia frente al logro de los objetivos</v>
      </c>
      <c r="Q63" s="453" t="s">
        <v>8</v>
      </c>
      <c r="R63" s="452">
        <f t="shared" si="0"/>
        <v>0.6</v>
      </c>
      <c r="S63" s="454" t="str">
        <f t="shared" si="1"/>
        <v>Moderado</v>
      </c>
      <c r="T63" s="457">
        <v>2</v>
      </c>
      <c r="U63" s="477" t="s">
        <v>410</v>
      </c>
      <c r="V63" s="457" t="str">
        <f t="shared" si="2"/>
        <v>Probabilidad</v>
      </c>
      <c r="W63" s="458" t="s">
        <v>187</v>
      </c>
      <c r="X63" s="458" t="s">
        <v>188</v>
      </c>
      <c r="Y63" s="459" t="str">
        <f t="shared" si="38"/>
        <v>40%</v>
      </c>
      <c r="Z63" s="458" t="s">
        <v>189</v>
      </c>
      <c r="AA63" s="458" t="s">
        <v>190</v>
      </c>
      <c r="AB63" s="458" t="s">
        <v>216</v>
      </c>
      <c r="AC63" s="460">
        <f>IFERROR(IF(AND(V62="Probabilidad",V63="Probabilidad"),(AE62-(+AE62*Y63)),IF(V63="Probabilidad",(N62-(+N62*Y63)),IF(V63="Impacto",AE62,""))),"")</f>
        <v>0.216</v>
      </c>
      <c r="AD63" s="461" t="str">
        <f t="shared" si="39"/>
        <v>Baja</v>
      </c>
      <c r="AE63" s="462">
        <f t="shared" si="40"/>
        <v>0.216</v>
      </c>
      <c r="AF63" s="461" t="str">
        <f t="shared" si="41"/>
        <v>Moderado</v>
      </c>
      <c r="AG63" s="462">
        <f>IFERROR(IF(AND(V62="Impacto",V63="Impacto"),(AG56-(+AG56*Y63)),IF(V63="Impacto",($R$50-(+$R$50*Y63)),IF(V63="Probabilidad",AG56,""))),"")</f>
        <v>0.6</v>
      </c>
      <c r="AH63" s="463" t="str">
        <f t="shared" si="42"/>
        <v>Moderado</v>
      </c>
      <c r="AI63" s="464" t="s">
        <v>192</v>
      </c>
      <c r="AJ63" s="465"/>
      <c r="AK63" s="465"/>
      <c r="AL63" s="466"/>
      <c r="AM63" s="467"/>
      <c r="AN63" s="468"/>
    </row>
    <row r="64" spans="1:40" ht="225.75" customHeight="1" x14ac:dyDescent="0.2">
      <c r="A64" s="469">
        <v>30</v>
      </c>
      <c r="B64" s="469" t="s">
        <v>403</v>
      </c>
      <c r="C64" s="470" t="s">
        <v>404</v>
      </c>
      <c r="D64" s="447" t="str">
        <f>IFERROR(INDEX('Base de datos gestión'!$D$28:$D$50,MATCH(C64,'Base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64" s="447" t="str">
        <f>IFERROR(INDEX('Base de datos gestión'!$E$28:$E$50,MATCH(C64,'Base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64" s="474" t="s">
        <v>234</v>
      </c>
      <c r="G64" s="475" t="s">
        <v>405</v>
      </c>
      <c r="H64" s="474" t="s">
        <v>406</v>
      </c>
      <c r="I64" s="474" t="s">
        <v>407</v>
      </c>
      <c r="J64" s="476" t="s">
        <v>408</v>
      </c>
      <c r="K64" s="476" t="s">
        <v>258</v>
      </c>
      <c r="L64" s="476">
        <v>50</v>
      </c>
      <c r="M64" s="450" t="str">
        <f t="shared" ref="M64" si="43">IF(L64&lt;=0,"",IF(L64&lt;=2,"Muy Baja",IF(L64&lt;=24,"Baja",IF(L64&lt;=500,"Media",IF(L64&lt;=5000,"Alta","Muy Alta")))))</f>
        <v>Media</v>
      </c>
      <c r="N64" s="451">
        <f t="shared" si="15"/>
        <v>0.6</v>
      </c>
      <c r="O64" s="452" t="s">
        <v>214</v>
      </c>
      <c r="P64" s="451" t="str">
        <f>IF(NOT(ISERROR(MATCH(O64,'Tabla Impacto'!$B$222:$B$224,0))),'Tabla Impacto'!$F$224&amp;"Por favor no seleccionar los criterios de impacto(Afectación Económica o presupuestal y Pérdida Reputacional)",O64)</f>
        <v xml:space="preserve">     El riesgo afecta la imagen de la entidad con algunos usuarios de relevancia frente al logro de los objetivos</v>
      </c>
      <c r="Q64" s="453" t="s">
        <v>8</v>
      </c>
      <c r="R64" s="452">
        <f t="shared" si="0"/>
        <v>0.6</v>
      </c>
      <c r="S64" s="454" t="str">
        <f t="shared" si="1"/>
        <v>Moderado</v>
      </c>
      <c r="T64" s="457">
        <v>3</v>
      </c>
      <c r="U64" s="477" t="s">
        <v>411</v>
      </c>
      <c r="V64" s="457" t="str">
        <f t="shared" si="2"/>
        <v>Probabilidad</v>
      </c>
      <c r="W64" s="458" t="s">
        <v>187</v>
      </c>
      <c r="X64" s="458" t="s">
        <v>188</v>
      </c>
      <c r="Y64" s="459" t="str">
        <f t="shared" si="38"/>
        <v>40%</v>
      </c>
      <c r="Z64" s="458" t="s">
        <v>222</v>
      </c>
      <c r="AA64" s="458" t="s">
        <v>190</v>
      </c>
      <c r="AB64" s="458" t="s">
        <v>191</v>
      </c>
      <c r="AC64" s="460">
        <f>IFERROR(IF(AND(V63="Probabilidad",V64="Probabilidad"),(AE63-(+AE63*Y64)),IF(AND(V63="Impacto",V64="Probabilidad"),(AE62-(+AE62*Y64)),IF(V64="Impacto",AE63,""))),"")</f>
        <v>0.12959999999999999</v>
      </c>
      <c r="AD64" s="461" t="str">
        <f t="shared" si="39"/>
        <v>Muy Baja</v>
      </c>
      <c r="AE64" s="462">
        <f t="shared" si="40"/>
        <v>0.12959999999999999</v>
      </c>
      <c r="AF64" s="461" t="str">
        <f t="shared" si="41"/>
        <v>Moderado</v>
      </c>
      <c r="AG64" s="462">
        <f>IFERROR(IF(AND(V63="Impacto",V64="Impacto"),(AG63-(+AG63*Y64)),IF(AND(V63="Probabilidad",V64="Impacto"),(AG62-(+AG62*Y64)),IF(V64="Probabilidad",AG63,""))),"")</f>
        <v>0.6</v>
      </c>
      <c r="AH64" s="463" t="str">
        <f t="shared" si="42"/>
        <v>Moderado</v>
      </c>
      <c r="AI64" s="464" t="s">
        <v>192</v>
      </c>
      <c r="AJ64" s="465"/>
      <c r="AK64" s="465"/>
      <c r="AL64" s="466"/>
      <c r="AM64" s="467"/>
      <c r="AN64" s="468"/>
    </row>
    <row r="65" spans="1:40" ht="194.25" customHeight="1" x14ac:dyDescent="0.2">
      <c r="A65" s="469">
        <v>31</v>
      </c>
      <c r="B65" s="469" t="s">
        <v>412</v>
      </c>
      <c r="C65" s="470" t="s">
        <v>404</v>
      </c>
      <c r="D65" s="447" t="str">
        <f>IFERROR(INDEX('Base de datos gestión'!$D$28:$D$50,MATCH(C65,'Base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65" s="447" t="str">
        <f>IFERROR(INDEX('Base de datos gestión'!$E$28:$E$50,MATCH(C65,'Base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65" s="474" t="s">
        <v>234</v>
      </c>
      <c r="G65" s="475" t="s">
        <v>413</v>
      </c>
      <c r="H65" s="606" t="s">
        <v>414</v>
      </c>
      <c r="I65" s="607" t="s">
        <v>415</v>
      </c>
      <c r="J65" s="476" t="s">
        <v>182</v>
      </c>
      <c r="K65" s="476" t="s">
        <v>258</v>
      </c>
      <c r="L65" s="476">
        <v>20</v>
      </c>
      <c r="M65" s="450" t="str">
        <f>IF(L65&lt;=0,"",IF(L65&lt;=2,"Muy Baja",IF(L65&lt;=24,"Baja",IF(L65&lt;=500,"Media",IF(L65&lt;=5000,"Alta","Muy Alta")))))</f>
        <v>Baja</v>
      </c>
      <c r="N65" s="451">
        <f t="shared" si="15"/>
        <v>0.4</v>
      </c>
      <c r="O65" s="452" t="s">
        <v>239</v>
      </c>
      <c r="P65" s="451" t="str">
        <f>IF(NOT(ISERROR(MATCH(O65,'Tabla Impacto'!$B$222:$B$224,0))),'Tabla Impacto'!$F$224&amp;"Por favor no seleccionar los criterios de impacto(Afectación Económica o presupuestal y Pérdida Reputacional)",O65)</f>
        <v xml:space="preserve">     El riesgo afecta la imagen de de la entidad con efecto publicitario sostenido a nivel de sector administrativo, nivel departamental o municipal</v>
      </c>
      <c r="Q65" s="453" t="s">
        <v>8</v>
      </c>
      <c r="R65" s="452">
        <f t="shared" si="0"/>
        <v>0.6</v>
      </c>
      <c r="S65" s="454" t="str">
        <f t="shared" si="1"/>
        <v>Moderado</v>
      </c>
      <c r="T65" s="457">
        <v>1</v>
      </c>
      <c r="U65" s="477" t="s">
        <v>416</v>
      </c>
      <c r="V65" s="457" t="str">
        <f t="shared" si="2"/>
        <v>Probabilidad</v>
      </c>
      <c r="W65" s="458" t="s">
        <v>187</v>
      </c>
      <c r="X65" s="458" t="s">
        <v>188</v>
      </c>
      <c r="Y65" s="459" t="str">
        <f t="shared" si="38"/>
        <v>40%</v>
      </c>
      <c r="Z65" s="458" t="s">
        <v>222</v>
      </c>
      <c r="AA65" s="458" t="s">
        <v>190</v>
      </c>
      <c r="AB65" s="458" t="s">
        <v>191</v>
      </c>
      <c r="AC65" s="460">
        <f>IFERROR(IF(AND(V64="Probabilidad",V65="Probabilidad"),(AE64-(+AE64*Y65)),IF(AND(V64="Impacto",V65="Probabilidad"),(AE63-(+AE63*Y65)),IF(V65="Impacto",AE64,""))),"")</f>
        <v>7.7759999999999996E-2</v>
      </c>
      <c r="AD65" s="461" t="str">
        <f t="shared" si="39"/>
        <v>Muy Baja</v>
      </c>
      <c r="AE65" s="462">
        <f t="shared" si="40"/>
        <v>7.7759999999999996E-2</v>
      </c>
      <c r="AF65" s="461" t="str">
        <f t="shared" si="41"/>
        <v>Moderado</v>
      </c>
      <c r="AG65" s="462">
        <f>IFERROR(IF(AND(V64="Impacto",V65="Impacto"),(AG64-(+AG64*Y65)),IF(AND(V64="Probabilidad",V65="Impacto"),(AG63-(+AG63*Y65)),IF(V65="Probabilidad",AG64,""))),"")</f>
        <v>0.6</v>
      </c>
      <c r="AH65" s="463" t="str">
        <f t="shared" si="42"/>
        <v>Moderado</v>
      </c>
      <c r="AI65" s="464" t="s">
        <v>192</v>
      </c>
      <c r="AJ65" s="477" t="s">
        <v>417</v>
      </c>
      <c r="AK65" s="477" t="s">
        <v>194</v>
      </c>
      <c r="AL65" s="477" t="s">
        <v>194</v>
      </c>
      <c r="AM65" s="477" t="s">
        <v>194</v>
      </c>
      <c r="AN65" s="477" t="s">
        <v>418</v>
      </c>
    </row>
    <row r="66" spans="1:40" ht="185.25" customHeight="1" x14ac:dyDescent="0.2">
      <c r="A66" s="469">
        <v>31</v>
      </c>
      <c r="B66" s="469" t="s">
        <v>412</v>
      </c>
      <c r="C66" s="470" t="s">
        <v>404</v>
      </c>
      <c r="D66" s="447" t="str">
        <f>IFERROR(INDEX('Base de datos gestión'!$D$28:$D$50,MATCH(C66,'Base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66" s="447" t="str">
        <f>IFERROR(INDEX('Base de datos gestión'!$E$28:$E$50,MATCH(C66,'Base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66" s="474" t="s">
        <v>234</v>
      </c>
      <c r="G66" s="475" t="s">
        <v>413</v>
      </c>
      <c r="H66" s="606" t="s">
        <v>414</v>
      </c>
      <c r="I66" s="607" t="s">
        <v>415</v>
      </c>
      <c r="J66" s="476" t="s">
        <v>182</v>
      </c>
      <c r="K66" s="476" t="s">
        <v>258</v>
      </c>
      <c r="L66" s="476">
        <v>20</v>
      </c>
      <c r="M66" s="450" t="str">
        <f t="shared" ref="M66" si="44">IF(L66&lt;=0,"",IF(L66&lt;=2,"Muy Baja",IF(L66&lt;=24,"Baja",IF(L66&lt;=500,"Media",IF(L66&lt;=5000,"Alta","Muy Alta")))))</f>
        <v>Baja</v>
      </c>
      <c r="N66" s="451">
        <f t="shared" si="15"/>
        <v>0.4</v>
      </c>
      <c r="O66" s="452" t="s">
        <v>239</v>
      </c>
      <c r="P66" s="451" t="str">
        <f>IF(NOT(ISERROR(MATCH(O66,'Tabla Impacto'!$B$222:$B$224,0))),'Tabla Impacto'!$F$224&amp;"Por favor no seleccionar los criterios de impacto(Afectación Económica o presupuestal y Pérdida Reputacional)",O66)</f>
        <v xml:space="preserve">     El riesgo afecta la imagen de de la entidad con efecto publicitario sostenido a nivel de sector administrativo, nivel departamental o municipal</v>
      </c>
      <c r="Q66" s="453" t="s">
        <v>8</v>
      </c>
      <c r="R66" s="452">
        <f t="shared" si="0"/>
        <v>0.6</v>
      </c>
      <c r="S66" s="454" t="str">
        <f t="shared" si="1"/>
        <v>Moderado</v>
      </c>
      <c r="T66" s="457">
        <v>2</v>
      </c>
      <c r="U66" s="477" t="s">
        <v>419</v>
      </c>
      <c r="V66" s="457" t="str">
        <f t="shared" si="2"/>
        <v>Probabilidad</v>
      </c>
      <c r="W66" s="458" t="s">
        <v>228</v>
      </c>
      <c r="X66" s="458" t="s">
        <v>188</v>
      </c>
      <c r="Y66" s="459" t="str">
        <f t="shared" si="38"/>
        <v>30%</v>
      </c>
      <c r="Z66" s="458" t="s">
        <v>222</v>
      </c>
      <c r="AA66" s="458" t="s">
        <v>202</v>
      </c>
      <c r="AB66" s="458" t="s">
        <v>191</v>
      </c>
      <c r="AC66" s="460">
        <f>IFERROR(IF(AND(V65="Probabilidad",V66="Probabilidad"),(AE65-(+AE65*Y66)),IF(AND(V65="Impacto",V66="Probabilidad"),(AE64-(+AE64*Y66)),IF(V66="Impacto",AE65,""))),"")</f>
        <v>5.4431999999999994E-2</v>
      </c>
      <c r="AD66" s="461" t="str">
        <f t="shared" si="39"/>
        <v>Muy Baja</v>
      </c>
      <c r="AE66" s="462">
        <f t="shared" si="40"/>
        <v>5.4431999999999994E-2</v>
      </c>
      <c r="AF66" s="461" t="str">
        <f t="shared" si="41"/>
        <v>Moderado</v>
      </c>
      <c r="AG66" s="462">
        <f>IFERROR(IF(AND(V65="Impacto",V66="Impacto"),(AG65-(+AG65*Y66)),IF(AND(V65="Probabilidad",V66="Impacto"),(AG64-(+AG64*Y66)),IF(V66="Probabilidad",AG65,""))),"")</f>
        <v>0.6</v>
      </c>
      <c r="AH66" s="463" t="str">
        <f t="shared" si="42"/>
        <v>Moderado</v>
      </c>
      <c r="AI66" s="464" t="s">
        <v>192</v>
      </c>
      <c r="AJ66" s="477" t="s">
        <v>417</v>
      </c>
      <c r="AK66" s="477" t="s">
        <v>194</v>
      </c>
      <c r="AL66" s="477" t="s">
        <v>194</v>
      </c>
      <c r="AM66" s="477" t="s">
        <v>194</v>
      </c>
      <c r="AN66" s="477" t="s">
        <v>418</v>
      </c>
    </row>
    <row r="67" spans="1:40" ht="298.5" customHeight="1" x14ac:dyDescent="0.2">
      <c r="A67" s="478">
        <v>31</v>
      </c>
      <c r="B67" s="478" t="s">
        <v>412</v>
      </c>
      <c r="C67" s="479" t="s">
        <v>404</v>
      </c>
      <c r="D67" s="447" t="str">
        <f>IFERROR(INDEX('Base de datos gestión'!$D$28:$D$50,MATCH(C67,'Base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67" s="447" t="str">
        <f>IFERROR(INDEX('Base de datos gestión'!$E$28:$E$50,MATCH(C67,'Base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67" s="474" t="s">
        <v>234</v>
      </c>
      <c r="G67" s="475" t="s">
        <v>413</v>
      </c>
      <c r="H67" s="606" t="s">
        <v>414</v>
      </c>
      <c r="I67" s="607" t="s">
        <v>415</v>
      </c>
      <c r="J67" s="476" t="s">
        <v>182</v>
      </c>
      <c r="K67" s="476" t="s">
        <v>258</v>
      </c>
      <c r="L67" s="476">
        <v>20</v>
      </c>
      <c r="M67" s="450" t="str">
        <f>IF(L67&lt;=0,"",IF(L67&lt;=2,"Muy Baja",IF(L67&lt;=24,"Baja",IF(L67&lt;=500,"Media",IF(L67&lt;=5000,"Alta","Muy Alta")))))</f>
        <v>Baja</v>
      </c>
      <c r="N67" s="451">
        <f t="shared" si="15"/>
        <v>0.4</v>
      </c>
      <c r="O67" s="452" t="s">
        <v>239</v>
      </c>
      <c r="P67" s="451" t="str">
        <f>IF(NOT(ISERROR(MATCH(O67,'Tabla Impacto'!$B$222:$B$224,0))),'Tabla Impacto'!$F$224&amp;"Por favor no seleccionar los criterios de impacto(Afectación Económica o presupuestal y Pérdida Reputacional)",O67)</f>
        <v xml:space="preserve">     El riesgo afecta la imagen de de la entidad con efecto publicitario sostenido a nivel de sector administrativo, nivel departamental o municipal</v>
      </c>
      <c r="Q67" s="453" t="s">
        <v>8</v>
      </c>
      <c r="R67" s="452">
        <f t="shared" si="0"/>
        <v>0.6</v>
      </c>
      <c r="S67" s="454" t="str">
        <f t="shared" si="1"/>
        <v>Moderado</v>
      </c>
      <c r="T67" s="457">
        <v>3</v>
      </c>
      <c r="U67" s="506" t="s">
        <v>420</v>
      </c>
      <c r="V67" s="457" t="str">
        <f t="shared" si="2"/>
        <v>Probabilidad</v>
      </c>
      <c r="W67" s="458" t="s">
        <v>187</v>
      </c>
      <c r="X67" s="458" t="s">
        <v>188</v>
      </c>
      <c r="Y67" s="459" t="str">
        <f t="shared" si="38"/>
        <v>40%</v>
      </c>
      <c r="Z67" s="458" t="s">
        <v>222</v>
      </c>
      <c r="AA67" s="458" t="s">
        <v>190</v>
      </c>
      <c r="AB67" s="458" t="s">
        <v>191</v>
      </c>
      <c r="AC67" s="460">
        <f>IFERROR(IF(AND(V66="Probabilidad",V67="Probabilidad"),(AE66-(+AE66*Y67)),IF(AND(V66="Impacto",V67="Probabilidad"),(AE65-(+AE65*Y67)),IF(V67="Impacto",AE66,""))),"")</f>
        <v>3.2659199999999999E-2</v>
      </c>
      <c r="AD67" s="461" t="str">
        <f t="shared" si="39"/>
        <v>Muy Baja</v>
      </c>
      <c r="AE67" s="462">
        <f t="shared" si="40"/>
        <v>3.2659199999999999E-2</v>
      </c>
      <c r="AF67" s="461" t="str">
        <f t="shared" si="41"/>
        <v>Moderado</v>
      </c>
      <c r="AG67" s="462">
        <f>IFERROR(IF(AND(V66="Impacto",V67="Impacto"),(AG66-(+AG66*Y67)),IF(AND(V66="Probabilidad",V67="Impacto"),(AG65-(+AG65*Y67)),IF(V67="Probabilidad",AG66,""))),"")</f>
        <v>0.6</v>
      </c>
      <c r="AH67" s="463" t="str">
        <f t="shared" si="42"/>
        <v>Moderado</v>
      </c>
      <c r="AI67" s="464" t="s">
        <v>192</v>
      </c>
      <c r="AJ67" s="477" t="s">
        <v>417</v>
      </c>
      <c r="AK67" s="477" t="s">
        <v>194</v>
      </c>
      <c r="AL67" s="477" t="s">
        <v>194</v>
      </c>
      <c r="AM67" s="477" t="s">
        <v>194</v>
      </c>
      <c r="AN67" s="477" t="s">
        <v>418</v>
      </c>
    </row>
    <row r="68" spans="1:40" ht="280.5" customHeight="1" x14ac:dyDescent="0.2">
      <c r="A68" s="446">
        <v>31</v>
      </c>
      <c r="B68" s="446" t="s">
        <v>412</v>
      </c>
      <c r="C68" s="447" t="s">
        <v>404</v>
      </c>
      <c r="D68" s="447" t="str">
        <f>IFERROR(INDEX('Base de datos gestión'!$D$28:$D$50,MATCH(C68,'Base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68" s="447" t="str">
        <f>IFERROR(INDEX('Base de datos gestión'!$E$28:$E$50,MATCH(C68,'Base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68" s="474" t="s">
        <v>234</v>
      </c>
      <c r="G68" s="475" t="s">
        <v>413</v>
      </c>
      <c r="H68" s="606" t="s">
        <v>414</v>
      </c>
      <c r="I68" s="607" t="s">
        <v>415</v>
      </c>
      <c r="J68" s="476" t="s">
        <v>182</v>
      </c>
      <c r="K68" s="476" t="s">
        <v>258</v>
      </c>
      <c r="L68" s="476">
        <v>20</v>
      </c>
      <c r="M68" s="450" t="str">
        <f t="shared" ref="M68:M72" si="45">IF(L68&lt;=0,"",IF(L68&lt;=2,"Muy Baja",IF(L68&lt;=24,"Baja",IF(L68&lt;=500,"Media",IF(L68&lt;=5000,"Alta","Muy Alta")))))</f>
        <v>Baja</v>
      </c>
      <c r="N68" s="451">
        <f t="shared" si="15"/>
        <v>0.4</v>
      </c>
      <c r="O68" s="452" t="s">
        <v>239</v>
      </c>
      <c r="P68" s="451" t="str">
        <f>IF(NOT(ISERROR(MATCH(O68,'Tabla Impacto'!$B$222:$B$224,0))),'Tabla Impacto'!$F$224&amp;"Por favor no seleccionar los criterios de impacto(Afectación Económica o presupuestal y Pérdida Reputacional)",O68)</f>
        <v xml:space="preserve">     El riesgo afecta la imagen de de la entidad con efecto publicitario sostenido a nivel de sector administrativo, nivel departamental o municipal</v>
      </c>
      <c r="Q68" s="453" t="s">
        <v>8</v>
      </c>
      <c r="R68" s="452">
        <f t="shared" si="0"/>
        <v>0.6</v>
      </c>
      <c r="S68" s="454" t="str">
        <f t="shared" si="1"/>
        <v>Moderado</v>
      </c>
      <c r="T68" s="457">
        <v>4</v>
      </c>
      <c r="U68" s="506" t="s">
        <v>421</v>
      </c>
      <c r="V68" s="457" t="str">
        <f t="shared" si="2"/>
        <v>Probabilidad</v>
      </c>
      <c r="W68" s="458" t="s">
        <v>187</v>
      </c>
      <c r="X68" s="458" t="s">
        <v>188</v>
      </c>
      <c r="Y68" s="459" t="str">
        <f t="shared" si="38"/>
        <v>40%</v>
      </c>
      <c r="Z68" s="458" t="s">
        <v>189</v>
      </c>
      <c r="AA68" s="458" t="s">
        <v>202</v>
      </c>
      <c r="AB68" s="458" t="s">
        <v>191</v>
      </c>
      <c r="AC68" s="460">
        <f>IFERROR(IF(V68="Probabilidad",(N68-(+N68*Y68)),IF(V68="Impacto",N68,"")),"")</f>
        <v>0.24</v>
      </c>
      <c r="AD68" s="461" t="str">
        <f t="shared" si="39"/>
        <v>Baja</v>
      </c>
      <c r="AE68" s="462">
        <f t="shared" si="40"/>
        <v>0.24</v>
      </c>
      <c r="AF68" s="461" t="str">
        <f t="shared" si="41"/>
        <v>Moderado</v>
      </c>
      <c r="AG68" s="462">
        <f>IFERROR(IF(V68="Impacto",(R68-(+R68*Y68)),IF(V68="Probabilidad",R68,"")),"")</f>
        <v>0.6</v>
      </c>
      <c r="AH68" s="463" t="str">
        <f t="shared" si="42"/>
        <v>Moderado</v>
      </c>
      <c r="AI68" s="464" t="s">
        <v>192</v>
      </c>
      <c r="AJ68" s="477" t="s">
        <v>417</v>
      </c>
      <c r="AK68" s="477" t="s">
        <v>194</v>
      </c>
      <c r="AL68" s="477" t="s">
        <v>194</v>
      </c>
      <c r="AM68" s="477" t="s">
        <v>194</v>
      </c>
      <c r="AN68" s="477" t="s">
        <v>418</v>
      </c>
    </row>
    <row r="69" spans="1:40" ht="176.25" customHeight="1" x14ac:dyDescent="0.2">
      <c r="A69" s="469">
        <v>31</v>
      </c>
      <c r="B69" s="469" t="s">
        <v>412</v>
      </c>
      <c r="C69" s="470" t="s">
        <v>404</v>
      </c>
      <c r="D69" s="447" t="str">
        <f>IFERROR(INDEX('Base de datos gestión'!$D$28:$D$50,MATCH(C69,'Base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69" s="447" t="str">
        <f>IFERROR(INDEX('Base de datos gestión'!$E$28:$E$50,MATCH(C69,'Base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69" s="474" t="s">
        <v>234</v>
      </c>
      <c r="G69" s="475" t="s">
        <v>413</v>
      </c>
      <c r="H69" s="606" t="s">
        <v>414</v>
      </c>
      <c r="I69" s="607" t="s">
        <v>415</v>
      </c>
      <c r="J69" s="476" t="s">
        <v>182</v>
      </c>
      <c r="K69" s="476" t="s">
        <v>258</v>
      </c>
      <c r="L69" s="476">
        <v>20</v>
      </c>
      <c r="M69" s="450" t="str">
        <f t="shared" si="45"/>
        <v>Baja</v>
      </c>
      <c r="N69" s="451">
        <f t="shared" si="15"/>
        <v>0.4</v>
      </c>
      <c r="O69" s="452" t="s">
        <v>239</v>
      </c>
      <c r="P69" s="451" t="str">
        <f>IF(NOT(ISERROR(MATCH(O69,'Tabla Impacto'!$B$222:$B$224,0))),'Tabla Impacto'!$F$224&amp;"Por favor no seleccionar los criterios de impacto(Afectación Económica o presupuestal y Pérdida Reputacional)",O69)</f>
        <v xml:space="preserve">     El riesgo afecta la imagen de de la entidad con efecto publicitario sostenido a nivel de sector administrativo, nivel departamental o municipal</v>
      </c>
      <c r="Q69" s="453" t="s">
        <v>8</v>
      </c>
      <c r="R69" s="452">
        <f t="shared" si="0"/>
        <v>0.6</v>
      </c>
      <c r="S69" s="454" t="str">
        <f t="shared" si="1"/>
        <v>Moderado</v>
      </c>
      <c r="T69" s="457">
        <v>5</v>
      </c>
      <c r="U69" s="477" t="s">
        <v>422</v>
      </c>
      <c r="V69" s="457" t="str">
        <f t="shared" si="2"/>
        <v>Probabilidad</v>
      </c>
      <c r="W69" s="458" t="s">
        <v>187</v>
      </c>
      <c r="X69" s="458" t="s">
        <v>188</v>
      </c>
      <c r="Y69" s="459" t="str">
        <f t="shared" si="38"/>
        <v>40%</v>
      </c>
      <c r="Z69" s="458" t="s">
        <v>222</v>
      </c>
      <c r="AA69" s="458" t="s">
        <v>202</v>
      </c>
      <c r="AB69" s="458" t="s">
        <v>191</v>
      </c>
      <c r="AC69" s="460">
        <f>IFERROR(IF(AND(V68="Probabilidad",V69="Probabilidad"),(AE68-(+AE68*Y69)),IF(V69="Probabilidad",(N68-(+N68*Y69)),IF(V69="Impacto",AE68,""))),"")</f>
        <v>0.14399999999999999</v>
      </c>
      <c r="AD69" s="461" t="str">
        <f t="shared" si="39"/>
        <v>Muy Baja</v>
      </c>
      <c r="AE69" s="462">
        <f t="shared" si="40"/>
        <v>0.14399999999999999</v>
      </c>
      <c r="AF69" s="461" t="str">
        <f t="shared" si="41"/>
        <v>Moderado</v>
      </c>
      <c r="AG69" s="462">
        <f>IFERROR(IF(AND(V68="Impacto",V69="Impacto"),(AG62-(+AG62*Y69)),IF(V69="Impacto",($R$56-(+$R$56*Y69)),IF(V69="Probabilidad",AG62,""))),"")</f>
        <v>0.6</v>
      </c>
      <c r="AH69" s="463" t="str">
        <f t="shared" si="42"/>
        <v>Moderado</v>
      </c>
      <c r="AI69" s="464" t="s">
        <v>192</v>
      </c>
      <c r="AJ69" s="477" t="s">
        <v>417</v>
      </c>
      <c r="AK69" s="477" t="s">
        <v>194</v>
      </c>
      <c r="AL69" s="477" t="s">
        <v>194</v>
      </c>
      <c r="AM69" s="477" t="s">
        <v>194</v>
      </c>
      <c r="AN69" s="477" t="s">
        <v>418</v>
      </c>
    </row>
    <row r="70" spans="1:40" ht="219.75" customHeight="1" x14ac:dyDescent="0.2">
      <c r="A70" s="469">
        <v>32</v>
      </c>
      <c r="B70" s="469" t="s">
        <v>423</v>
      </c>
      <c r="C70" s="470" t="s">
        <v>404</v>
      </c>
      <c r="D70" s="447" t="str">
        <f>IFERROR(INDEX('Base de datos gestión'!$D$28:$D$50,MATCH(C70,'Base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70" s="447" t="str">
        <f>IFERROR(INDEX('Base de datos gestión'!$E$28:$E$50,MATCH(C70,'Base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70" s="474" t="s">
        <v>234</v>
      </c>
      <c r="G70" s="475" t="s">
        <v>424</v>
      </c>
      <c r="H70" s="474" t="s">
        <v>425</v>
      </c>
      <c r="I70" s="474" t="s">
        <v>426</v>
      </c>
      <c r="J70" s="476" t="s">
        <v>408</v>
      </c>
      <c r="K70" s="476" t="s">
        <v>258</v>
      </c>
      <c r="L70" s="476">
        <v>10</v>
      </c>
      <c r="M70" s="450" t="str">
        <f t="shared" si="45"/>
        <v>Baja</v>
      </c>
      <c r="N70" s="451">
        <f t="shared" si="15"/>
        <v>0.4</v>
      </c>
      <c r="O70" s="452" t="s">
        <v>214</v>
      </c>
      <c r="P70" s="451" t="str">
        <f>IF(NOT(ISERROR(MATCH(O70,'Tabla Impacto'!$B$222:$B$224,0))),'Tabla Impacto'!$F$224&amp;"Por favor no seleccionar los criterios de impacto(Afectación Económica o presupuestal y Pérdida Reputacional)",O70)</f>
        <v xml:space="preserve">     El riesgo afecta la imagen de la entidad con algunos usuarios de relevancia frente al logro de los objetivos</v>
      </c>
      <c r="Q70" s="453" t="s">
        <v>8</v>
      </c>
      <c r="R70" s="452">
        <f t="shared" si="0"/>
        <v>0.6</v>
      </c>
      <c r="S70" s="454" t="str">
        <f t="shared" si="1"/>
        <v>Moderado</v>
      </c>
      <c r="T70" s="457">
        <v>1</v>
      </c>
      <c r="U70" s="477" t="s">
        <v>427</v>
      </c>
      <c r="V70" s="457" t="str">
        <f t="shared" si="2"/>
        <v>Probabilidad</v>
      </c>
      <c r="W70" s="458" t="s">
        <v>228</v>
      </c>
      <c r="X70" s="458" t="s">
        <v>188</v>
      </c>
      <c r="Y70" s="459" t="str">
        <f t="shared" si="38"/>
        <v>30%</v>
      </c>
      <c r="Z70" s="458" t="s">
        <v>222</v>
      </c>
      <c r="AA70" s="458" t="s">
        <v>190</v>
      </c>
      <c r="AB70" s="458" t="s">
        <v>191</v>
      </c>
      <c r="AC70" s="460">
        <f>IFERROR(IF(AND(V69="Probabilidad",V70="Probabilidad"),(AE69-(+AE69*Y70)),IF(AND(V69="Impacto",V70="Probabilidad"),(AE68-(+AE68*Y70)),IF(V70="Impacto",AE69,""))),"")</f>
        <v>0.1008</v>
      </c>
      <c r="AD70" s="461" t="str">
        <f t="shared" si="39"/>
        <v>Muy Baja</v>
      </c>
      <c r="AE70" s="462">
        <f t="shared" si="40"/>
        <v>0.1008</v>
      </c>
      <c r="AF70" s="461" t="str">
        <f t="shared" si="41"/>
        <v>Moderado</v>
      </c>
      <c r="AG70" s="462">
        <f>IFERROR(IF(AND(V69="Impacto",V70="Impacto"),(AG69-(+AG69*Y70)),IF(AND(V69="Probabilidad",V70="Impacto"),(AG68-(+AG68*Y70)),IF(V70="Probabilidad",AG69,""))),"")</f>
        <v>0.6</v>
      </c>
      <c r="AH70" s="463" t="str">
        <f t="shared" si="42"/>
        <v>Moderado</v>
      </c>
      <c r="AI70" s="464" t="s">
        <v>192</v>
      </c>
      <c r="AJ70" s="477" t="s">
        <v>417</v>
      </c>
      <c r="AK70" s="477" t="s">
        <v>194</v>
      </c>
      <c r="AL70" s="477" t="s">
        <v>194</v>
      </c>
      <c r="AM70" s="477" t="s">
        <v>194</v>
      </c>
      <c r="AN70" s="477" t="s">
        <v>418</v>
      </c>
    </row>
    <row r="71" spans="1:40" ht="250.5" customHeight="1" x14ac:dyDescent="0.2">
      <c r="A71" s="469">
        <v>32</v>
      </c>
      <c r="B71" s="469" t="s">
        <v>423</v>
      </c>
      <c r="C71" s="470" t="s">
        <v>404</v>
      </c>
      <c r="D71" s="447" t="str">
        <f>IFERROR(INDEX('Base de datos gestión'!$D$28:$D$50,MATCH(C71,'Base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71" s="447" t="str">
        <f>IFERROR(INDEX('Base de datos gestión'!$E$28:$E$50,MATCH(C71,'Base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71" s="474" t="s">
        <v>234</v>
      </c>
      <c r="G71" s="475" t="s">
        <v>424</v>
      </c>
      <c r="H71" s="474" t="s">
        <v>425</v>
      </c>
      <c r="I71" s="474" t="s">
        <v>426</v>
      </c>
      <c r="J71" s="476" t="s">
        <v>408</v>
      </c>
      <c r="K71" s="476" t="s">
        <v>258</v>
      </c>
      <c r="L71" s="476">
        <v>10</v>
      </c>
      <c r="M71" s="450" t="str">
        <f t="shared" si="45"/>
        <v>Baja</v>
      </c>
      <c r="N71" s="451">
        <f t="shared" si="15"/>
        <v>0.4</v>
      </c>
      <c r="O71" s="452" t="s">
        <v>214</v>
      </c>
      <c r="P71" s="451" t="str">
        <f>IF(NOT(ISERROR(MATCH(O71,'Tabla Impacto'!$B$222:$B$224,0))),'Tabla Impacto'!$F$224&amp;"Por favor no seleccionar los criterios de impacto(Afectación Económica o presupuestal y Pérdida Reputacional)",O71)</f>
        <v xml:space="preserve">     El riesgo afecta la imagen de la entidad con algunos usuarios de relevancia frente al logro de los objetivos</v>
      </c>
      <c r="Q71" s="453" t="s">
        <v>428</v>
      </c>
      <c r="R71" s="452">
        <f t="shared" si="0"/>
        <v>0.2</v>
      </c>
      <c r="S71" s="454" t="str">
        <f t="shared" si="1"/>
        <v>Bajo</v>
      </c>
      <c r="T71" s="457">
        <v>2</v>
      </c>
      <c r="U71" s="477" t="s">
        <v>429</v>
      </c>
      <c r="V71" s="457" t="str">
        <f t="shared" si="2"/>
        <v>Probabilidad</v>
      </c>
      <c r="W71" s="458" t="s">
        <v>187</v>
      </c>
      <c r="X71" s="458" t="s">
        <v>188</v>
      </c>
      <c r="Y71" s="459" t="str">
        <f t="shared" si="38"/>
        <v>40%</v>
      </c>
      <c r="Z71" s="458" t="s">
        <v>222</v>
      </c>
      <c r="AA71" s="458" t="s">
        <v>190</v>
      </c>
      <c r="AB71" s="458" t="s">
        <v>191</v>
      </c>
      <c r="AC71" s="460">
        <f>IFERROR(IF(AND(V70="Probabilidad",V71="Probabilidad"),(AE70-(+AE70*Y71)),IF(AND(V70="Impacto",V71="Probabilidad"),(AE69-(+AE69*Y71)),IF(V71="Impacto",AE70,""))),"")</f>
        <v>6.0479999999999999E-2</v>
      </c>
      <c r="AD71" s="461" t="str">
        <f t="shared" si="39"/>
        <v>Muy Baja</v>
      </c>
      <c r="AE71" s="462">
        <f t="shared" si="40"/>
        <v>6.0479999999999999E-2</v>
      </c>
      <c r="AF71" s="461" t="str">
        <f t="shared" si="41"/>
        <v>Moderado</v>
      </c>
      <c r="AG71" s="462">
        <f>IFERROR(IF(AND(V70="Impacto",V71="Impacto"),(AG70-(+AG70*Y71)),IF(AND(V70="Probabilidad",V71="Impacto"),(AG69-(+AG69*Y71)),IF(V71="Probabilidad",AG70,""))),"")</f>
        <v>0.6</v>
      </c>
      <c r="AH71" s="463" t="str">
        <f t="shared" si="42"/>
        <v>Moderado</v>
      </c>
      <c r="AI71" s="464" t="s">
        <v>192</v>
      </c>
      <c r="AJ71" s="477" t="s">
        <v>417</v>
      </c>
      <c r="AK71" s="477" t="s">
        <v>194</v>
      </c>
      <c r="AL71" s="477" t="s">
        <v>194</v>
      </c>
      <c r="AM71" s="477" t="s">
        <v>194</v>
      </c>
      <c r="AN71" s="477" t="s">
        <v>418</v>
      </c>
    </row>
    <row r="72" spans="1:40" ht="227.25" customHeight="1" x14ac:dyDescent="0.2">
      <c r="A72" s="469">
        <v>32</v>
      </c>
      <c r="B72" s="469" t="s">
        <v>423</v>
      </c>
      <c r="C72" s="470" t="s">
        <v>404</v>
      </c>
      <c r="D72" s="447" t="str">
        <f>IFERROR(INDEX('Base de datos gestión'!$D$28:$D$50,MATCH(C72,'Base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72" s="447" t="str">
        <f>IFERROR(INDEX('Base de datos gestión'!$E$28:$E$50,MATCH(C72,'Base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72" s="474" t="s">
        <v>234</v>
      </c>
      <c r="G72" s="475" t="s">
        <v>424</v>
      </c>
      <c r="H72" s="474" t="s">
        <v>425</v>
      </c>
      <c r="I72" s="474" t="s">
        <v>426</v>
      </c>
      <c r="J72" s="476" t="s">
        <v>408</v>
      </c>
      <c r="K72" s="476" t="s">
        <v>258</v>
      </c>
      <c r="L72" s="476">
        <v>10</v>
      </c>
      <c r="M72" s="450" t="str">
        <f t="shared" si="45"/>
        <v>Baja</v>
      </c>
      <c r="N72" s="451">
        <f t="shared" si="15"/>
        <v>0.4</v>
      </c>
      <c r="O72" s="452" t="s">
        <v>214</v>
      </c>
      <c r="P72" s="451" t="str">
        <f>IF(NOT(ISERROR(MATCH(O72,'Tabla Impacto'!$B$222:$B$224,0))),'Tabla Impacto'!$F$224&amp;"Por favor no seleccionar los criterios de impacto(Afectación Económica o presupuestal y Pérdida Reputacional)",O72)</f>
        <v xml:space="preserve">     El riesgo afecta la imagen de la entidad con algunos usuarios de relevancia frente al logro de los objetivos</v>
      </c>
      <c r="Q72" s="453" t="s">
        <v>428</v>
      </c>
      <c r="R72" s="452">
        <f t="shared" si="0"/>
        <v>0.2</v>
      </c>
      <c r="S72" s="454" t="str">
        <f t="shared" si="1"/>
        <v>Bajo</v>
      </c>
      <c r="T72" s="457">
        <v>3</v>
      </c>
      <c r="U72" s="506" t="s">
        <v>430</v>
      </c>
      <c r="V72" s="457" t="str">
        <f t="shared" si="2"/>
        <v>Probabilidad</v>
      </c>
      <c r="W72" s="458" t="s">
        <v>187</v>
      </c>
      <c r="X72" s="458" t="s">
        <v>188</v>
      </c>
      <c r="Y72" s="459" t="str">
        <f t="shared" si="38"/>
        <v>40%</v>
      </c>
      <c r="Z72" s="458" t="s">
        <v>222</v>
      </c>
      <c r="AA72" s="458" t="s">
        <v>190</v>
      </c>
      <c r="AB72" s="458" t="s">
        <v>191</v>
      </c>
      <c r="AC72" s="460">
        <f>IFERROR(IF(AND(V71="Probabilidad",V72="Probabilidad"),(AE71-(+AE71*Y72)),IF(AND(V71="Impacto",V72="Probabilidad"),(AE70-(+AE70*Y72)),IF(V72="Impacto",AE71,""))),"")</f>
        <v>3.6288000000000001E-2</v>
      </c>
      <c r="AD72" s="461" t="str">
        <f t="shared" si="39"/>
        <v>Muy Baja</v>
      </c>
      <c r="AE72" s="462">
        <f t="shared" si="40"/>
        <v>3.6288000000000001E-2</v>
      </c>
      <c r="AF72" s="461" t="str">
        <f t="shared" si="41"/>
        <v>Moderado</v>
      </c>
      <c r="AG72" s="462">
        <f>IFERROR(IF(AND(V71="Impacto",V72="Impacto"),(AG71-(+AG71*Y72)),IF(AND(V71="Probabilidad",V72="Impacto"),(AG70-(+AG70*Y72)),IF(V72="Probabilidad",AG71,""))),"")</f>
        <v>0.6</v>
      </c>
      <c r="AH72" s="463" t="str">
        <f t="shared" si="42"/>
        <v>Moderado</v>
      </c>
      <c r="AI72" s="464" t="s">
        <v>192</v>
      </c>
      <c r="AJ72" s="477" t="s">
        <v>417</v>
      </c>
      <c r="AK72" s="477" t="s">
        <v>194</v>
      </c>
      <c r="AL72" s="477" t="s">
        <v>194</v>
      </c>
      <c r="AM72" s="477" t="s">
        <v>194</v>
      </c>
      <c r="AN72" s="477" t="s">
        <v>418</v>
      </c>
    </row>
    <row r="73" spans="1:40" ht="267" customHeight="1" x14ac:dyDescent="0.2">
      <c r="A73" s="478">
        <v>33</v>
      </c>
      <c r="B73" s="478" t="s">
        <v>431</v>
      </c>
      <c r="C73" s="479" t="s">
        <v>404</v>
      </c>
      <c r="D73" s="447" t="str">
        <f>IFERROR(INDEX('Base de datos gestión'!$D$28:$D$50,MATCH(C73,'Base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73" s="447" t="str">
        <f>IFERROR(INDEX('Base de datos gestión'!$E$28:$E$50,MATCH(C73,'Base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73" s="474" t="s">
        <v>234</v>
      </c>
      <c r="G73" s="475" t="s">
        <v>432</v>
      </c>
      <c r="H73" s="474" t="s">
        <v>433</v>
      </c>
      <c r="I73" s="474" t="s">
        <v>434</v>
      </c>
      <c r="J73" s="476" t="s">
        <v>182</v>
      </c>
      <c r="K73" s="476" t="s">
        <v>258</v>
      </c>
      <c r="L73" s="476">
        <v>10</v>
      </c>
      <c r="M73" s="450" t="str">
        <f>IF(L73&lt;=0,"",IF(L73&lt;=2,"Muy Baja",IF(L73&lt;=24,"Baja",IF(L73&lt;=500,"Media",IF(L73&lt;=5000,"Alta","Muy Alta")))))</f>
        <v>Baja</v>
      </c>
      <c r="N73" s="451">
        <f t="shared" si="15"/>
        <v>0.4</v>
      </c>
      <c r="O73" s="452" t="s">
        <v>214</v>
      </c>
      <c r="P73" s="451" t="str">
        <f>IF(NOT(ISERROR(MATCH(O73,'Tabla Impacto'!$B$222:$B$224,0))),'Tabla Impacto'!$F$224&amp;"Por favor no seleccionar los criterios de impacto(Afectación Económica o presupuestal y Pérdida Reputacional)",O73)</f>
        <v xml:space="preserve">     El riesgo afecta la imagen de la entidad con algunos usuarios de relevancia frente al logro de los objetivos</v>
      </c>
      <c r="Q73" s="453" t="s">
        <v>342</v>
      </c>
      <c r="R73" s="452">
        <f t="shared" si="0"/>
        <v>1</v>
      </c>
      <c r="S73" s="454" t="str">
        <f t="shared" si="1"/>
        <v>Extremo</v>
      </c>
      <c r="T73" s="457">
        <v>1</v>
      </c>
      <c r="U73" s="506" t="s">
        <v>435</v>
      </c>
      <c r="V73" s="457" t="str">
        <f t="shared" si="2"/>
        <v>Probabilidad</v>
      </c>
      <c r="W73" s="458" t="s">
        <v>187</v>
      </c>
      <c r="X73" s="458" t="s">
        <v>188</v>
      </c>
      <c r="Y73" s="459" t="str">
        <f t="shared" si="38"/>
        <v>40%</v>
      </c>
      <c r="Z73" s="458" t="s">
        <v>222</v>
      </c>
      <c r="AA73" s="458" t="s">
        <v>190</v>
      </c>
      <c r="AB73" s="458" t="s">
        <v>191</v>
      </c>
      <c r="AC73" s="460">
        <f>IFERROR(IF(AND(V72="Probabilidad",V73="Probabilidad"),(AE72-(+AE72*Y73)),IF(AND(V72="Impacto",V73="Probabilidad"),(AE71-(+AE71*Y73)),IF(V73="Impacto",AE72,""))),"")</f>
        <v>2.1772800000000002E-2</v>
      </c>
      <c r="AD73" s="461" t="str">
        <f t="shared" si="39"/>
        <v>Muy Baja</v>
      </c>
      <c r="AE73" s="462">
        <f t="shared" si="40"/>
        <v>2.1772800000000002E-2</v>
      </c>
      <c r="AF73" s="461" t="str">
        <f t="shared" si="41"/>
        <v>Moderado</v>
      </c>
      <c r="AG73" s="462">
        <f>IFERROR(IF(AND(V72="Impacto",V73="Impacto"),(AG72-(+AG72*Y73)),IF(AND(V72="Probabilidad",V73="Impacto"),(AG71-(+AG71*Y73)),IF(V73="Probabilidad",AG72,""))),"")</f>
        <v>0.6</v>
      </c>
      <c r="AH73" s="463" t="str">
        <f t="shared" si="42"/>
        <v>Moderado</v>
      </c>
      <c r="AI73" s="464" t="s">
        <v>192</v>
      </c>
      <c r="AJ73" s="477" t="s">
        <v>417</v>
      </c>
      <c r="AK73" s="477" t="s">
        <v>194</v>
      </c>
      <c r="AL73" s="477" t="s">
        <v>194</v>
      </c>
      <c r="AM73" s="477" t="s">
        <v>194</v>
      </c>
      <c r="AN73" s="477" t="s">
        <v>418</v>
      </c>
    </row>
    <row r="74" spans="1:40" ht="244.5" customHeight="1" x14ac:dyDescent="0.2">
      <c r="A74" s="446">
        <v>33</v>
      </c>
      <c r="B74" s="446" t="s">
        <v>431</v>
      </c>
      <c r="C74" s="447" t="s">
        <v>404</v>
      </c>
      <c r="D74" s="447" t="str">
        <f>IFERROR(INDEX('Base de datos gestión'!$D$28:$D$50,MATCH(C74,'Base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74" s="447" t="str">
        <f>IFERROR(INDEX('Base de datos gestión'!$E$28:$E$50,MATCH(C74,'Base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74" s="474" t="s">
        <v>234</v>
      </c>
      <c r="G74" s="475" t="s">
        <v>432</v>
      </c>
      <c r="H74" s="474" t="s">
        <v>433</v>
      </c>
      <c r="I74" s="474" t="s">
        <v>434</v>
      </c>
      <c r="J74" s="476" t="s">
        <v>182</v>
      </c>
      <c r="K74" s="476" t="s">
        <v>258</v>
      </c>
      <c r="L74" s="476">
        <v>10</v>
      </c>
      <c r="M74" s="450" t="str">
        <f>IF(L74&lt;=0,"",IF(L74&lt;=2,"Muy Baja",IF(L74&lt;=24,"Baja",IF(L74&lt;=500,"Media",IF(L74&lt;=5000,"Alta","Muy Alta")))))</f>
        <v>Baja</v>
      </c>
      <c r="N74" s="451">
        <f t="shared" si="15"/>
        <v>0.4</v>
      </c>
      <c r="O74" s="452" t="s">
        <v>214</v>
      </c>
      <c r="P74" s="451" t="str">
        <f>IF(NOT(ISERROR(MATCH(O74,'Tabla Impacto'!$B$222:$B$224,0))),'Tabla Impacto'!$F$224&amp;"Por favor no seleccionar los criterios de impacto(Afectación Económica o presupuestal y Pérdida Reputacional)",O74)</f>
        <v xml:space="preserve">     El riesgo afecta la imagen de la entidad con algunos usuarios de relevancia frente al logro de los objetivos</v>
      </c>
      <c r="Q74" s="453" t="s">
        <v>342</v>
      </c>
      <c r="R74" s="452">
        <f t="shared" si="0"/>
        <v>1</v>
      </c>
      <c r="S74" s="454" t="str">
        <f t="shared" si="1"/>
        <v>Extremo</v>
      </c>
      <c r="T74" s="457">
        <v>2</v>
      </c>
      <c r="U74" s="506" t="s">
        <v>436</v>
      </c>
      <c r="V74" s="457" t="str">
        <f t="shared" si="2"/>
        <v>Probabilidad</v>
      </c>
      <c r="W74" s="458" t="s">
        <v>187</v>
      </c>
      <c r="X74" s="458" t="s">
        <v>188</v>
      </c>
      <c r="Y74" s="459" t="str">
        <f t="shared" si="38"/>
        <v>40%</v>
      </c>
      <c r="Z74" s="458" t="s">
        <v>222</v>
      </c>
      <c r="AA74" s="458" t="s">
        <v>190</v>
      </c>
      <c r="AB74" s="458" t="s">
        <v>191</v>
      </c>
      <c r="AC74" s="460">
        <f>IFERROR(IF(V74="Probabilidad",(N74-(+N74*Y74)),IF(V74="Impacto",N74,"")),"")</f>
        <v>0.24</v>
      </c>
      <c r="AD74" s="461" t="str">
        <f t="shared" si="39"/>
        <v>Baja</v>
      </c>
      <c r="AE74" s="462">
        <f t="shared" si="40"/>
        <v>0.24</v>
      </c>
      <c r="AF74" s="461" t="str">
        <f t="shared" si="41"/>
        <v>Catastrófico</v>
      </c>
      <c r="AG74" s="462">
        <f>IFERROR(IF(V74="Impacto",(R74-(+R74*Y74)),IF(V74="Probabilidad",R74,"")),"")</f>
        <v>1</v>
      </c>
      <c r="AH74" s="463" t="str">
        <f t="shared" si="42"/>
        <v>Extremo</v>
      </c>
      <c r="AI74" s="464" t="s">
        <v>192</v>
      </c>
      <c r="AJ74" s="477" t="s">
        <v>417</v>
      </c>
      <c r="AK74" s="477" t="s">
        <v>194</v>
      </c>
      <c r="AL74" s="477" t="s">
        <v>194</v>
      </c>
      <c r="AM74" s="477" t="s">
        <v>194</v>
      </c>
      <c r="AN74" s="477" t="s">
        <v>418</v>
      </c>
    </row>
    <row r="75" spans="1:40" ht="168.75" customHeight="1" x14ac:dyDescent="0.2">
      <c r="A75" s="469">
        <v>34</v>
      </c>
      <c r="B75" s="469" t="s">
        <v>437</v>
      </c>
      <c r="C75" s="470" t="s">
        <v>404</v>
      </c>
      <c r="D75" s="447" t="str">
        <f>IFERROR(INDEX('Base de datos gestión'!$D$28:$D$50,MATCH(C75,'Base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75" s="447" t="str">
        <f>IFERROR(INDEX('Base de datos gestión'!$E$28:$E$50,MATCH(C75,'Base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75" s="474" t="s">
        <v>234</v>
      </c>
      <c r="G75" s="475" t="s">
        <v>438</v>
      </c>
      <c r="H75" s="474" t="s">
        <v>439</v>
      </c>
      <c r="I75" s="474" t="s">
        <v>440</v>
      </c>
      <c r="J75" s="476" t="s">
        <v>408</v>
      </c>
      <c r="K75" s="476" t="s">
        <v>258</v>
      </c>
      <c r="L75" s="476">
        <v>20</v>
      </c>
      <c r="M75" s="450" t="str">
        <f t="shared" ref="M75:M78" si="46">IF(L75&lt;=0,"",IF(L75&lt;=2,"Muy Baja",IF(L75&lt;=24,"Baja",IF(L75&lt;=500,"Media",IF(L75&lt;=5000,"Alta","Muy Alta")))))</f>
        <v>Baja</v>
      </c>
      <c r="N75" s="451">
        <f t="shared" si="15"/>
        <v>0.4</v>
      </c>
      <c r="O75" s="452" t="s">
        <v>214</v>
      </c>
      <c r="P75" s="451" t="str">
        <f>IF(NOT(ISERROR(MATCH(O75,'Tabla Impacto'!$B$222:$B$224,0))),'Tabla Impacto'!$F$224&amp;"Por favor no seleccionar los criterios de impacto(Afectación Económica o presupuestal y Pérdida Reputacional)",O75)</f>
        <v xml:space="preserve">     El riesgo afecta la imagen de la entidad con algunos usuarios de relevancia frente al logro de los objetivos</v>
      </c>
      <c r="Q75" s="453" t="s">
        <v>8</v>
      </c>
      <c r="R75" s="452">
        <f t="shared" si="0"/>
        <v>0.6</v>
      </c>
      <c r="S75" s="454" t="str">
        <f t="shared" si="1"/>
        <v>Moderado</v>
      </c>
      <c r="T75" s="457">
        <v>1</v>
      </c>
      <c r="U75" s="477" t="s">
        <v>441</v>
      </c>
      <c r="V75" s="457" t="str">
        <f t="shared" si="2"/>
        <v>Probabilidad</v>
      </c>
      <c r="W75" s="458" t="s">
        <v>187</v>
      </c>
      <c r="X75" s="458" t="s">
        <v>188</v>
      </c>
      <c r="Y75" s="459" t="str">
        <f t="shared" si="38"/>
        <v>40%</v>
      </c>
      <c r="Z75" s="458" t="s">
        <v>222</v>
      </c>
      <c r="AA75" s="458" t="s">
        <v>190</v>
      </c>
      <c r="AB75" s="458" t="s">
        <v>191</v>
      </c>
      <c r="AC75" s="460">
        <f>IFERROR(IF(AND(V74="Probabilidad",V75="Probabilidad"),(AE74-(+AE74*Y75)),IF(V75="Probabilidad",(N74-(+N74*Y75)),IF(V75="Impacto",AE74,""))),"")</f>
        <v>0.14399999999999999</v>
      </c>
      <c r="AD75" s="461" t="str">
        <f t="shared" si="39"/>
        <v>Muy Baja</v>
      </c>
      <c r="AE75" s="462">
        <f t="shared" si="40"/>
        <v>0.14399999999999999</v>
      </c>
      <c r="AF75" s="461" t="str">
        <f t="shared" si="41"/>
        <v>Moderado</v>
      </c>
      <c r="AG75" s="462">
        <f>IFERROR(IF(AND(V74="Impacto",V75="Impacto"),(AG68-(+AG68*Y75)),IF(V75="Impacto",($R$50-(+$R$50*Y75)),IF(V75="Probabilidad",AG68,""))),"")</f>
        <v>0.6</v>
      </c>
      <c r="AH75" s="463" t="str">
        <f t="shared" si="42"/>
        <v>Moderado</v>
      </c>
      <c r="AI75" s="464" t="s">
        <v>192</v>
      </c>
      <c r="AJ75" s="465"/>
      <c r="AK75" s="465"/>
      <c r="AL75" s="466"/>
      <c r="AM75" s="467"/>
      <c r="AN75" s="468"/>
    </row>
    <row r="76" spans="1:40" ht="175.5" customHeight="1" x14ac:dyDescent="0.2">
      <c r="A76" s="469">
        <v>34</v>
      </c>
      <c r="B76" s="469" t="s">
        <v>437</v>
      </c>
      <c r="C76" s="470" t="s">
        <v>404</v>
      </c>
      <c r="D76" s="447" t="str">
        <f>IFERROR(INDEX('Base de datos gestión'!$D$28:$D$50,MATCH(C76,'Base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76" s="447" t="str">
        <f>IFERROR(INDEX('Base de datos gestión'!$E$28:$E$50,MATCH(C76,'Base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76" s="474" t="s">
        <v>234</v>
      </c>
      <c r="G76" s="475" t="s">
        <v>438</v>
      </c>
      <c r="H76" s="474" t="s">
        <v>439</v>
      </c>
      <c r="I76" s="474" t="s">
        <v>440</v>
      </c>
      <c r="J76" s="476" t="s">
        <v>408</v>
      </c>
      <c r="K76" s="476" t="s">
        <v>258</v>
      </c>
      <c r="L76" s="476">
        <v>20</v>
      </c>
      <c r="M76" s="450" t="str">
        <f t="shared" si="46"/>
        <v>Baja</v>
      </c>
      <c r="N76" s="451">
        <f t="shared" si="15"/>
        <v>0.4</v>
      </c>
      <c r="O76" s="452" t="s">
        <v>214</v>
      </c>
      <c r="P76" s="451" t="str">
        <f>IF(NOT(ISERROR(MATCH(O76,'Tabla Impacto'!$B$222:$B$224,0))),'Tabla Impacto'!$F$224&amp;"Por favor no seleccionar los criterios de impacto(Afectación Económica o presupuestal y Pérdida Reputacional)",O76)</f>
        <v xml:space="preserve">     El riesgo afecta la imagen de la entidad con algunos usuarios de relevancia frente al logro de los objetivos</v>
      </c>
      <c r="Q76" s="453" t="s">
        <v>8</v>
      </c>
      <c r="R76" s="452">
        <f t="shared" si="0"/>
        <v>0.6</v>
      </c>
      <c r="S76" s="454" t="str">
        <f t="shared" si="1"/>
        <v>Moderado</v>
      </c>
      <c r="T76" s="457">
        <v>2</v>
      </c>
      <c r="U76" s="506" t="s">
        <v>442</v>
      </c>
      <c r="V76" s="457" t="str">
        <f t="shared" si="2"/>
        <v>Probabilidad</v>
      </c>
      <c r="W76" s="458" t="s">
        <v>187</v>
      </c>
      <c r="X76" s="458" t="s">
        <v>188</v>
      </c>
      <c r="Y76" s="459" t="str">
        <f t="shared" si="38"/>
        <v>40%</v>
      </c>
      <c r="Z76" s="458" t="s">
        <v>222</v>
      </c>
      <c r="AA76" s="458" t="s">
        <v>190</v>
      </c>
      <c r="AB76" s="458" t="s">
        <v>191</v>
      </c>
      <c r="AC76" s="460">
        <f>IFERROR(IF(AND(V75="Probabilidad",V76="Probabilidad"),(AE75-(+AE75*Y76)),IF(AND(V75="Impacto",V76="Probabilidad"),(AE74-(+AE74*Y76)),IF(V76="Impacto",AE75,""))),"")</f>
        <v>8.6399999999999991E-2</v>
      </c>
      <c r="AD76" s="461" t="str">
        <f t="shared" si="39"/>
        <v>Muy Baja</v>
      </c>
      <c r="AE76" s="462">
        <f t="shared" si="40"/>
        <v>8.6399999999999991E-2</v>
      </c>
      <c r="AF76" s="461" t="str">
        <f t="shared" si="41"/>
        <v>Moderado</v>
      </c>
      <c r="AG76" s="462">
        <f>IFERROR(IF(AND(V75="Impacto",V76="Impacto"),(AG75-(+AG75*Y76)),IF(AND(V75="Probabilidad",V76="Impacto"),(AG74-(+AG74*Y76)),IF(V76="Probabilidad",AG75,""))),"")</f>
        <v>0.6</v>
      </c>
      <c r="AH76" s="463" t="str">
        <f t="shared" si="42"/>
        <v>Moderado</v>
      </c>
      <c r="AI76" s="464" t="s">
        <v>192</v>
      </c>
      <c r="AJ76" s="465"/>
      <c r="AK76" s="465"/>
      <c r="AL76" s="466"/>
      <c r="AM76" s="467"/>
      <c r="AN76" s="468"/>
    </row>
    <row r="77" spans="1:40" ht="193.5" customHeight="1" x14ac:dyDescent="0.2">
      <c r="A77" s="469">
        <v>34</v>
      </c>
      <c r="B77" s="469" t="s">
        <v>437</v>
      </c>
      <c r="C77" s="470" t="s">
        <v>404</v>
      </c>
      <c r="D77" s="447" t="str">
        <f>IFERROR(INDEX('Base de datos gestión'!$D$28:$D$50,MATCH(C77,'Base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77" s="447" t="str">
        <f>IFERROR(INDEX('Base de datos gestión'!$E$28:$E$50,MATCH(C77,'Base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77" s="474" t="s">
        <v>234</v>
      </c>
      <c r="G77" s="475" t="s">
        <v>438</v>
      </c>
      <c r="H77" s="474" t="s">
        <v>439</v>
      </c>
      <c r="I77" s="474" t="s">
        <v>440</v>
      </c>
      <c r="J77" s="476" t="s">
        <v>408</v>
      </c>
      <c r="K77" s="476" t="s">
        <v>258</v>
      </c>
      <c r="L77" s="476">
        <v>20</v>
      </c>
      <c r="M77" s="450" t="str">
        <f t="shared" si="46"/>
        <v>Baja</v>
      </c>
      <c r="N77" s="451">
        <f t="shared" si="15"/>
        <v>0.4</v>
      </c>
      <c r="O77" s="452" t="s">
        <v>214</v>
      </c>
      <c r="P77" s="451" t="str">
        <f>IF(NOT(ISERROR(MATCH(O77,'Tabla Impacto'!$B$222:$B$224,0))),'Tabla Impacto'!$F$224&amp;"Por favor no seleccionar los criterios de impacto(Afectación Económica o presupuestal y Pérdida Reputacional)",O77)</f>
        <v xml:space="preserve">     El riesgo afecta la imagen de la entidad con algunos usuarios de relevancia frente al logro de los objetivos</v>
      </c>
      <c r="Q77" s="453" t="s">
        <v>8</v>
      </c>
      <c r="R77" s="452">
        <f t="shared" si="0"/>
        <v>0.6</v>
      </c>
      <c r="S77" s="454" t="str">
        <f t="shared" si="1"/>
        <v>Moderado</v>
      </c>
      <c r="T77" s="457">
        <v>3</v>
      </c>
      <c r="U77" s="506" t="s">
        <v>443</v>
      </c>
      <c r="V77" s="457" t="str">
        <f t="shared" si="2"/>
        <v>Probabilidad</v>
      </c>
      <c r="W77" s="458" t="s">
        <v>187</v>
      </c>
      <c r="X77" s="458" t="s">
        <v>188</v>
      </c>
      <c r="Y77" s="459" t="str">
        <f t="shared" si="38"/>
        <v>40%</v>
      </c>
      <c r="Z77" s="458" t="s">
        <v>222</v>
      </c>
      <c r="AA77" s="458" t="s">
        <v>190</v>
      </c>
      <c r="AB77" s="458" t="s">
        <v>191</v>
      </c>
      <c r="AC77" s="460">
        <f>IFERROR(IF(AND(V76="Probabilidad",V77="Probabilidad"),(AE76-(+AE76*Y77)),IF(AND(V76="Impacto",V77="Probabilidad"),(AE75-(+AE75*Y77)),IF(V77="Impacto",AE76,""))),"")</f>
        <v>5.183999999999999E-2</v>
      </c>
      <c r="AD77" s="461" t="str">
        <f t="shared" si="39"/>
        <v>Muy Baja</v>
      </c>
      <c r="AE77" s="462">
        <f t="shared" si="40"/>
        <v>5.183999999999999E-2</v>
      </c>
      <c r="AF77" s="461" t="str">
        <f t="shared" si="41"/>
        <v>Moderado</v>
      </c>
      <c r="AG77" s="462">
        <f>IFERROR(IF(AND(V76="Impacto",V77="Impacto"),(AG76-(+AG76*Y77)),IF(AND(V76="Probabilidad",V77="Impacto"),(AG75-(+AG75*Y77)),IF(V77="Probabilidad",AG76,""))),"")</f>
        <v>0.6</v>
      </c>
      <c r="AH77" s="463" t="str">
        <f t="shared" si="42"/>
        <v>Moderado</v>
      </c>
      <c r="AI77" s="464" t="s">
        <v>192</v>
      </c>
      <c r="AJ77" s="465"/>
      <c r="AK77" s="465"/>
      <c r="AL77" s="466"/>
      <c r="AM77" s="467"/>
      <c r="AN77" s="468"/>
    </row>
    <row r="78" spans="1:40" ht="318" customHeight="1" x14ac:dyDescent="0.2">
      <c r="A78" s="469">
        <v>35</v>
      </c>
      <c r="B78" s="469" t="s">
        <v>444</v>
      </c>
      <c r="C78" s="470" t="s">
        <v>404</v>
      </c>
      <c r="D78" s="447" t="str">
        <f>IFERROR(INDEX('Base de datos gestión'!$D$28:$D$50,MATCH(C78,'Base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78" s="447" t="str">
        <f>IFERROR(INDEX('Base de datos gestión'!$E$28:$E$50,MATCH(C78,'Base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78" s="474" t="s">
        <v>445</v>
      </c>
      <c r="G78" s="475" t="s">
        <v>446</v>
      </c>
      <c r="H78" s="476" t="s">
        <v>447</v>
      </c>
      <c r="I78" s="474" t="s">
        <v>448</v>
      </c>
      <c r="J78" s="476" t="s">
        <v>182</v>
      </c>
      <c r="K78" s="476" t="s">
        <v>258</v>
      </c>
      <c r="L78" s="476">
        <v>10</v>
      </c>
      <c r="M78" s="450" t="str">
        <f t="shared" si="46"/>
        <v>Baja</v>
      </c>
      <c r="N78" s="451">
        <f t="shared" si="15"/>
        <v>0.4</v>
      </c>
      <c r="O78" s="452" t="s">
        <v>214</v>
      </c>
      <c r="P78" s="451" t="str">
        <f>IF(NOT(ISERROR(MATCH(O78,'Tabla Impacto'!$B$222:$B$224,0))),'Tabla Impacto'!$F$224&amp;"Por favor no seleccionar los criterios de impacto(Afectación Económica o presupuestal y Pérdida Reputacional)",O78)</f>
        <v xml:space="preserve">     El riesgo afecta la imagen de la entidad con algunos usuarios de relevancia frente al logro de los objetivos</v>
      </c>
      <c r="Q78" s="453" t="s">
        <v>8</v>
      </c>
      <c r="R78" s="452">
        <f t="shared" ref="R78:R94" si="47">IF(Q78="","",IF(Q78="Leve",0.2,IF(Q78="Menor",0.4,IF(Q78="Moderado",0.6,IF(Q78="Mayor",0.8,IF(Q78="Catastrófico",1,))))))</f>
        <v>0.6</v>
      </c>
      <c r="S78" s="454" t="str">
        <f t="shared" ref="S78:S94" si="48">IF(OR(AND(M78="Muy Baja",Q78="Leve"),AND(M78="Muy Baja",Q78="Menor"),AND(M78="Baja",Q78="Leve")),"Bajo",IF(OR(AND(M78="Muy baja",Q78="Moderado"),AND(M78="Baja",Q78="Menor"),AND(M78="Baja",Q78="Moderado"),AND(M78="Media",Q78="Leve"),AND(M78="Media",Q78="Menor"),AND(M78="Media",Q78="Moderado"),AND(M78="Alta",Q78="Leve"),AND(M78="Alta",Q78="Menor")),"Moderado",IF(OR(AND(M78="Muy Baja",Q78="Mayor"),AND(M78="Baja",Q78="Mayor"),AND(M78="Media",Q78="Mayor"),AND(M78="Alta",Q78="Moderado"),AND(M78="Alta",Q78="Mayor"),AND(M78="Muy Alta",Q78="Leve"),AND(M78="Muy Alta",Q78="Menor"),AND(M78="Muy Alta",Q78="Moderado"),AND(M78="Muy Alta",Q78="Mayor")),"Alto",IF(OR(AND(M78="Muy Baja",Q78="Catastrófico"),AND(M78="Baja",Q78="Catastrófico"),AND(M78="Media",Q78="Catastrófico"),AND(M78="Alta",Q78="Catastrófico"),AND(M78="Muy Alta",Q78="Catastrófico")),"Extremo",""))))</f>
        <v>Moderado</v>
      </c>
      <c r="T78" s="457">
        <v>1</v>
      </c>
      <c r="U78" s="477" t="s">
        <v>449</v>
      </c>
      <c r="V78" s="457" t="str">
        <f t="shared" ref="V78:V141" si="49">IF(OR(W78="Preventivo",W78="Detectivo"),"Probabilidad",IF(W78="Correctivo","Impacto",""))</f>
        <v>Probabilidad</v>
      </c>
      <c r="W78" s="458" t="s">
        <v>187</v>
      </c>
      <c r="X78" s="458" t="s">
        <v>188</v>
      </c>
      <c r="Y78" s="459" t="str">
        <f t="shared" si="38"/>
        <v>40%</v>
      </c>
      <c r="Z78" s="458" t="s">
        <v>222</v>
      </c>
      <c r="AA78" s="458" t="s">
        <v>190</v>
      </c>
      <c r="AB78" s="458" t="s">
        <v>191</v>
      </c>
      <c r="AC78" s="460">
        <f>IFERROR(IF(AND(V77="Probabilidad",V78="Probabilidad"),(AE77-(+AE77*Y78)),IF(AND(V77="Impacto",V78="Probabilidad"),(AE76-(+AE76*Y78)),IF(V78="Impacto",AE77,""))),"")</f>
        <v>3.1103999999999993E-2</v>
      </c>
      <c r="AD78" s="461" t="str">
        <f t="shared" si="39"/>
        <v>Muy Baja</v>
      </c>
      <c r="AE78" s="462">
        <f t="shared" si="40"/>
        <v>3.1103999999999993E-2</v>
      </c>
      <c r="AF78" s="461" t="str">
        <f t="shared" si="41"/>
        <v>Moderado</v>
      </c>
      <c r="AG78" s="462">
        <f>IFERROR(IF(AND(V77="Impacto",V78="Impacto"),(AG77-(+AG77*Y78)),IF(AND(V77="Probabilidad",V78="Impacto"),(AG76-(+AG76*Y78)),IF(V78="Probabilidad",AG77,""))),"")</f>
        <v>0.6</v>
      </c>
      <c r="AH78" s="463" t="str">
        <f t="shared" si="42"/>
        <v>Moderado</v>
      </c>
      <c r="AI78" s="464" t="s">
        <v>192</v>
      </c>
      <c r="AJ78" s="477" t="s">
        <v>417</v>
      </c>
      <c r="AK78" s="477" t="s">
        <v>194</v>
      </c>
      <c r="AL78" s="477" t="s">
        <v>194</v>
      </c>
      <c r="AM78" s="477" t="s">
        <v>194</v>
      </c>
      <c r="AN78" s="477" t="s">
        <v>418</v>
      </c>
    </row>
    <row r="79" spans="1:40" ht="223.5" customHeight="1" x14ac:dyDescent="0.2">
      <c r="A79" s="478">
        <v>35</v>
      </c>
      <c r="B79" s="478" t="s">
        <v>444</v>
      </c>
      <c r="C79" s="479" t="s">
        <v>404</v>
      </c>
      <c r="D79" s="447" t="str">
        <f>IFERROR(INDEX('Base de datos gestión'!$D$28:$D$50,MATCH(C79,'Base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79" s="447" t="str">
        <f>IFERROR(INDEX('Base de datos gestión'!$E$28:$E$50,MATCH(C79,'Base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79" s="474" t="s">
        <v>445</v>
      </c>
      <c r="G79" s="475" t="s">
        <v>446</v>
      </c>
      <c r="H79" s="476" t="s">
        <v>447</v>
      </c>
      <c r="I79" s="474" t="s">
        <v>448</v>
      </c>
      <c r="J79" s="476" t="s">
        <v>182</v>
      </c>
      <c r="K79" s="476" t="s">
        <v>258</v>
      </c>
      <c r="L79" s="476">
        <v>10</v>
      </c>
      <c r="M79" s="450" t="str">
        <f>IF(L79&lt;=0,"",IF(L79&lt;=2,"Muy Baja",IF(L79&lt;=24,"Baja",IF(L79&lt;=500,"Media",IF(L79&lt;=5000,"Alta","Muy Alta")))))</f>
        <v>Baja</v>
      </c>
      <c r="N79" s="451">
        <f t="shared" si="15"/>
        <v>0.4</v>
      </c>
      <c r="O79" s="452" t="s">
        <v>214</v>
      </c>
      <c r="P79" s="451" t="str">
        <f>IF(NOT(ISERROR(MATCH(O79,'Tabla Impacto'!$B$222:$B$224,0))),'Tabla Impacto'!$F$224&amp;"Por favor no seleccionar los criterios de impacto(Afectación Económica o presupuestal y Pérdida Reputacional)",O79)</f>
        <v xml:space="preserve">     El riesgo afecta la imagen de la entidad con algunos usuarios de relevancia frente al logro de los objetivos</v>
      </c>
      <c r="Q79" s="453" t="s">
        <v>8</v>
      </c>
      <c r="R79" s="452">
        <f t="shared" si="47"/>
        <v>0.6</v>
      </c>
      <c r="S79" s="454" t="str">
        <f t="shared" si="48"/>
        <v>Moderado</v>
      </c>
      <c r="T79" s="457">
        <v>2</v>
      </c>
      <c r="U79" s="506" t="s">
        <v>450</v>
      </c>
      <c r="V79" s="457" t="str">
        <f t="shared" si="49"/>
        <v>Probabilidad</v>
      </c>
      <c r="W79" s="458" t="s">
        <v>187</v>
      </c>
      <c r="X79" s="458" t="s">
        <v>188</v>
      </c>
      <c r="Y79" s="459" t="str">
        <f t="shared" si="38"/>
        <v>40%</v>
      </c>
      <c r="Z79" s="458" t="s">
        <v>222</v>
      </c>
      <c r="AA79" s="458" t="s">
        <v>190</v>
      </c>
      <c r="AB79" s="458" t="s">
        <v>191</v>
      </c>
      <c r="AC79" s="460">
        <f>IFERROR(IF(AND(V78="Probabilidad",V79="Probabilidad"),(AE78-(+AE78*Y79)),IF(AND(V78="Impacto",V79="Probabilidad"),(AE77-(+AE77*Y79)),IF(V79="Impacto",AE78,""))),"")</f>
        <v>1.8662399999999996E-2</v>
      </c>
      <c r="AD79" s="461" t="str">
        <f t="shared" si="39"/>
        <v>Muy Baja</v>
      </c>
      <c r="AE79" s="462">
        <f t="shared" si="40"/>
        <v>1.8662399999999996E-2</v>
      </c>
      <c r="AF79" s="461" t="str">
        <f t="shared" si="41"/>
        <v>Moderado</v>
      </c>
      <c r="AG79" s="462">
        <f>IFERROR(IF(AND(V78="Impacto",V79="Impacto"),(AG78-(+AG78*Y79)),IF(AND(V78="Probabilidad",V79="Impacto"),(AG77-(+AG77*Y79)),IF(V79="Probabilidad",AG78,""))),"")</f>
        <v>0.6</v>
      </c>
      <c r="AH79" s="463" t="str">
        <f t="shared" si="42"/>
        <v>Moderado</v>
      </c>
      <c r="AI79" s="464" t="s">
        <v>192</v>
      </c>
      <c r="AJ79" s="477" t="s">
        <v>417</v>
      </c>
      <c r="AK79" s="477" t="s">
        <v>194</v>
      </c>
      <c r="AL79" s="477" t="s">
        <v>194</v>
      </c>
      <c r="AM79" s="477" t="s">
        <v>194</v>
      </c>
      <c r="AN79" s="477" t="s">
        <v>418</v>
      </c>
    </row>
    <row r="80" spans="1:40" ht="345.75" customHeight="1" x14ac:dyDescent="0.2">
      <c r="A80" s="446">
        <v>36</v>
      </c>
      <c r="B80" s="446" t="s">
        <v>451</v>
      </c>
      <c r="C80" s="447" t="s">
        <v>404</v>
      </c>
      <c r="D80" s="447" t="str">
        <f>IFERROR(INDEX('Base de datos gestión'!$D$28:$D$50,MATCH(C80,'Base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80" s="447" t="str">
        <f>IFERROR(INDEX('Base de datos gestión'!$E$28:$E$50,MATCH(C80,'Base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80" s="474" t="s">
        <v>234</v>
      </c>
      <c r="G80" s="475" t="s">
        <v>452</v>
      </c>
      <c r="H80" s="476" t="s">
        <v>447</v>
      </c>
      <c r="I80" s="474" t="s">
        <v>453</v>
      </c>
      <c r="J80" s="476" t="s">
        <v>182</v>
      </c>
      <c r="K80" s="476" t="s">
        <v>258</v>
      </c>
      <c r="L80" s="476">
        <v>5</v>
      </c>
      <c r="M80" s="450" t="str">
        <f>IF(L80&lt;=0,"",IF(L80&lt;=2,"Muy Baja",IF(L80&lt;=24,"Baja",IF(L80&lt;=500,"Media",IF(L80&lt;=5000,"Alta","Muy Alta")))))</f>
        <v>Baja</v>
      </c>
      <c r="N80" s="451">
        <f t="shared" si="15"/>
        <v>0.4</v>
      </c>
      <c r="O80" s="452" t="s">
        <v>339</v>
      </c>
      <c r="P80" s="451" t="str">
        <f>IF(NOT(ISERROR(MATCH(O80,'Tabla Impacto'!$B$222:$B$224,0))),'Tabla Impacto'!$F$224&amp;"Por favor no seleccionar los criterios de impacto(Afectación Económica o presupuestal y Pérdida Reputacional)",O80)</f>
        <v xml:space="preserve">     El riesgo afecta la imagen de la entidad a nivel nacional, con efecto publicitarios sostenible a nivel país</v>
      </c>
      <c r="Q80" s="453" t="s">
        <v>8</v>
      </c>
      <c r="R80" s="452">
        <f t="shared" si="47"/>
        <v>0.6</v>
      </c>
      <c r="S80" s="454" t="str">
        <f t="shared" si="48"/>
        <v>Moderado</v>
      </c>
      <c r="T80" s="457">
        <v>1</v>
      </c>
      <c r="U80" s="477" t="s">
        <v>454</v>
      </c>
      <c r="V80" s="457" t="str">
        <f t="shared" si="49"/>
        <v>Probabilidad</v>
      </c>
      <c r="W80" s="458" t="s">
        <v>187</v>
      </c>
      <c r="X80" s="458" t="s">
        <v>188</v>
      </c>
      <c r="Y80" s="459" t="str">
        <f t="shared" si="38"/>
        <v>40%</v>
      </c>
      <c r="Z80" s="458" t="s">
        <v>222</v>
      </c>
      <c r="AA80" s="458" t="s">
        <v>190</v>
      </c>
      <c r="AB80" s="458" t="s">
        <v>191</v>
      </c>
      <c r="AC80" s="460">
        <f>IFERROR(IF(V80="Probabilidad",(N80-(+N80*Y80)),IF(V80="Impacto",N80,"")),"")</f>
        <v>0.24</v>
      </c>
      <c r="AD80" s="461" t="str">
        <f t="shared" si="39"/>
        <v>Baja</v>
      </c>
      <c r="AE80" s="462">
        <f t="shared" si="40"/>
        <v>0.24</v>
      </c>
      <c r="AF80" s="461" t="str">
        <f t="shared" si="41"/>
        <v>Moderado</v>
      </c>
      <c r="AG80" s="462">
        <f>IFERROR(IF(V80="Impacto",(R80-(+R80*Y80)),IF(V80="Probabilidad",R80,"")),"")</f>
        <v>0.6</v>
      </c>
      <c r="AH80" s="463" t="str">
        <f t="shared" si="42"/>
        <v>Moderado</v>
      </c>
      <c r="AI80" s="464" t="s">
        <v>192</v>
      </c>
      <c r="AJ80" s="465"/>
      <c r="AK80" s="465"/>
      <c r="AL80" s="466"/>
      <c r="AM80" s="467"/>
      <c r="AN80" s="468"/>
    </row>
    <row r="81" spans="1:40" ht="219" customHeight="1" x14ac:dyDescent="0.2">
      <c r="A81" s="469">
        <v>36</v>
      </c>
      <c r="B81" s="469" t="s">
        <v>451</v>
      </c>
      <c r="C81" s="470" t="s">
        <v>404</v>
      </c>
      <c r="D81" s="447" t="str">
        <f>IFERROR(INDEX('Base de datos gestión'!$D$28:$D$50,MATCH(C81,'Base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81" s="447" t="str">
        <f>IFERROR(INDEX('Base de datos gestión'!$E$28:$E$50,MATCH(C81,'Base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81" s="474" t="s">
        <v>234</v>
      </c>
      <c r="G81" s="475" t="s">
        <v>452</v>
      </c>
      <c r="H81" s="476" t="s">
        <v>447</v>
      </c>
      <c r="I81" s="474" t="s">
        <v>453</v>
      </c>
      <c r="J81" s="476" t="s">
        <v>182</v>
      </c>
      <c r="K81" s="476" t="s">
        <v>258</v>
      </c>
      <c r="L81" s="476">
        <v>5</v>
      </c>
      <c r="M81" s="450" t="str">
        <f t="shared" ref="M81:M85" si="50">IF(L81&lt;=0,"",IF(L81&lt;=2,"Muy Baja",IF(L81&lt;=24,"Baja",IF(L81&lt;=500,"Media",IF(L81&lt;=5000,"Alta","Muy Alta")))))</f>
        <v>Baja</v>
      </c>
      <c r="N81" s="451">
        <f t="shared" si="15"/>
        <v>0.4</v>
      </c>
      <c r="O81" s="452" t="s">
        <v>339</v>
      </c>
      <c r="P81" s="451" t="str">
        <f>IF(NOT(ISERROR(MATCH(O81,'Tabla Impacto'!$B$222:$B$224,0))),'Tabla Impacto'!$F$224&amp;"Por favor no seleccionar los criterios de impacto(Afectación Económica o presupuestal y Pérdida Reputacional)",O81)</f>
        <v xml:space="preserve">     El riesgo afecta la imagen de la entidad a nivel nacional, con efecto publicitarios sostenible a nivel país</v>
      </c>
      <c r="Q81" s="453" t="s">
        <v>8</v>
      </c>
      <c r="R81" s="452">
        <f t="shared" si="47"/>
        <v>0.6</v>
      </c>
      <c r="S81" s="454" t="str">
        <f t="shared" si="48"/>
        <v>Moderado</v>
      </c>
      <c r="T81" s="457">
        <v>2</v>
      </c>
      <c r="U81" s="477" t="s">
        <v>456</v>
      </c>
      <c r="V81" s="457" t="str">
        <f t="shared" si="49"/>
        <v>Probabilidad</v>
      </c>
      <c r="W81" s="458" t="s">
        <v>228</v>
      </c>
      <c r="X81" s="458" t="s">
        <v>188</v>
      </c>
      <c r="Y81" s="459" t="str">
        <f t="shared" si="38"/>
        <v>30%</v>
      </c>
      <c r="Z81" s="458" t="s">
        <v>189</v>
      </c>
      <c r="AA81" s="458" t="s">
        <v>190</v>
      </c>
      <c r="AB81" s="458" t="s">
        <v>216</v>
      </c>
      <c r="AC81" s="460">
        <f>IFERROR(IF(AND(V80="Probabilidad",V81="Probabilidad"),(AE80-(+AE80*Y81)),IF(V81="Probabilidad",(N80-(+N80*Y81)),IF(V81="Impacto",AE80,""))),"")</f>
        <v>0.16799999999999998</v>
      </c>
      <c r="AD81" s="461" t="str">
        <f t="shared" si="39"/>
        <v>Muy Baja</v>
      </c>
      <c r="AE81" s="462">
        <f t="shared" si="40"/>
        <v>0.16799999999999998</v>
      </c>
      <c r="AF81" s="461" t="str">
        <f t="shared" si="41"/>
        <v>Catastrófico</v>
      </c>
      <c r="AG81" s="462">
        <f>IFERROR(IF(AND(V80="Impacto",V81="Impacto"),(AG74-(+AG74*Y81)),IF(V81="Impacto",($R$56-(+$R$56*Y81)),IF(V81="Probabilidad",AG74,""))),"")</f>
        <v>1</v>
      </c>
      <c r="AH81" s="463" t="str">
        <f t="shared" si="42"/>
        <v>Extremo</v>
      </c>
      <c r="AI81" s="464" t="s">
        <v>192</v>
      </c>
      <c r="AJ81" s="465"/>
      <c r="AK81" s="465"/>
      <c r="AL81" s="466"/>
      <c r="AM81" s="467"/>
      <c r="AN81" s="468"/>
    </row>
    <row r="82" spans="1:40" ht="180.75" customHeight="1" x14ac:dyDescent="0.2">
      <c r="A82" s="469">
        <v>37</v>
      </c>
      <c r="B82" s="469" t="s">
        <v>458</v>
      </c>
      <c r="C82" s="470" t="s">
        <v>404</v>
      </c>
      <c r="D82" s="447" t="str">
        <f>IFERROR(INDEX('Base de datos gestión'!$D$28:$D$50,MATCH(C82,'Base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82" s="447" t="str">
        <f>IFERROR(INDEX('Base de datos gestión'!$E$28:$E$50,MATCH(C82,'Base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82" s="474" t="s">
        <v>234</v>
      </c>
      <c r="G82" s="475" t="s">
        <v>459</v>
      </c>
      <c r="H82" s="474" t="s">
        <v>460</v>
      </c>
      <c r="I82" s="474" t="s">
        <v>461</v>
      </c>
      <c r="J82" s="476" t="s">
        <v>182</v>
      </c>
      <c r="K82" s="476" t="s">
        <v>258</v>
      </c>
      <c r="L82" s="476">
        <v>5</v>
      </c>
      <c r="M82" s="450" t="str">
        <f t="shared" si="50"/>
        <v>Baja</v>
      </c>
      <c r="N82" s="451">
        <f t="shared" si="15"/>
        <v>0.4</v>
      </c>
      <c r="O82" s="452" t="s">
        <v>332</v>
      </c>
      <c r="P82" s="451" t="str">
        <f>IF(NOT(ISERROR(MATCH(O82,'Tabla Impacto'!$B$222:$B$224,0))),'Tabla Impacto'!$F$224&amp;"Por favor no seleccionar los criterios de impacto(Afectación Económica o presupuestal y Pérdida Reputacional)",O82)</f>
        <v xml:space="preserve">     El riesgo afecta la imagen de alguna área de la organización</v>
      </c>
      <c r="Q82" s="453" t="s">
        <v>8</v>
      </c>
      <c r="R82" s="452">
        <f t="shared" si="47"/>
        <v>0.6</v>
      </c>
      <c r="S82" s="454" t="str">
        <f t="shared" si="48"/>
        <v>Moderado</v>
      </c>
      <c r="T82" s="457">
        <v>1</v>
      </c>
      <c r="U82" s="477" t="s">
        <v>462</v>
      </c>
      <c r="V82" s="457" t="str">
        <f t="shared" si="49"/>
        <v>Probabilidad</v>
      </c>
      <c r="W82" s="458" t="s">
        <v>187</v>
      </c>
      <c r="X82" s="458" t="s">
        <v>188</v>
      </c>
      <c r="Y82" s="459" t="str">
        <f t="shared" si="38"/>
        <v>40%</v>
      </c>
      <c r="Z82" s="458" t="s">
        <v>222</v>
      </c>
      <c r="AA82" s="458" t="s">
        <v>190</v>
      </c>
      <c r="AB82" s="458" t="s">
        <v>191</v>
      </c>
      <c r="AC82" s="460">
        <f>IFERROR(IF(AND(V81="Probabilidad",V82="Probabilidad"),(AE81-(+AE81*Y82)),IF(AND(V81="Impacto",V82="Probabilidad"),(AE80-(+AE80*Y82)),IF(V82="Impacto",AE81,""))),"")</f>
        <v>0.10079999999999999</v>
      </c>
      <c r="AD82" s="461" t="str">
        <f t="shared" si="39"/>
        <v>Muy Baja</v>
      </c>
      <c r="AE82" s="462">
        <f t="shared" si="40"/>
        <v>0.10079999999999999</v>
      </c>
      <c r="AF82" s="461" t="str">
        <f t="shared" si="41"/>
        <v>Catastrófico</v>
      </c>
      <c r="AG82" s="462">
        <f>IFERROR(IF(AND(V81="Impacto",V82="Impacto"),(AG81-(+AG81*Y82)),IF(AND(V81="Probabilidad",V82="Impacto"),(AG80-(+AG80*Y82)),IF(V82="Probabilidad",AG81,""))),"")</f>
        <v>1</v>
      </c>
      <c r="AH82" s="463" t="str">
        <f t="shared" si="42"/>
        <v>Extremo</v>
      </c>
      <c r="AI82" s="464" t="s">
        <v>192</v>
      </c>
      <c r="AJ82" s="477" t="s">
        <v>417</v>
      </c>
      <c r="AK82" s="477" t="s">
        <v>194</v>
      </c>
      <c r="AL82" s="477" t="s">
        <v>194</v>
      </c>
      <c r="AM82" s="477" t="s">
        <v>194</v>
      </c>
      <c r="AN82" s="477" t="s">
        <v>418</v>
      </c>
    </row>
    <row r="83" spans="1:40" ht="339" customHeight="1" x14ac:dyDescent="0.2">
      <c r="A83" s="469">
        <v>37</v>
      </c>
      <c r="B83" s="469" t="s">
        <v>458</v>
      </c>
      <c r="C83" s="470" t="s">
        <v>404</v>
      </c>
      <c r="D83" s="447" t="str">
        <f>IFERROR(INDEX('Base de datos gestión'!$D$28:$D$50,MATCH(C83,'Base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83" s="447" t="str">
        <f>IFERROR(INDEX('Base de datos gestión'!$E$28:$E$50,MATCH(C83,'Base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83" s="474" t="s">
        <v>234</v>
      </c>
      <c r="G83" s="475" t="s">
        <v>459</v>
      </c>
      <c r="H83" s="474" t="s">
        <v>460</v>
      </c>
      <c r="I83" s="474" t="s">
        <v>461</v>
      </c>
      <c r="J83" s="476" t="s">
        <v>182</v>
      </c>
      <c r="K83" s="476" t="s">
        <v>258</v>
      </c>
      <c r="L83" s="476">
        <v>5</v>
      </c>
      <c r="M83" s="450" t="str">
        <f t="shared" si="50"/>
        <v>Baja</v>
      </c>
      <c r="N83" s="451">
        <f t="shared" si="15"/>
        <v>0.4</v>
      </c>
      <c r="O83" s="452" t="s">
        <v>332</v>
      </c>
      <c r="P83" s="451" t="str">
        <f>IF(NOT(ISERROR(MATCH(O83,'Tabla Impacto'!$B$222:$B$224,0))),'Tabla Impacto'!$F$224&amp;"Por favor no seleccionar los criterios de impacto(Afectación Económica o presupuestal y Pérdida Reputacional)",O83)</f>
        <v xml:space="preserve">     El riesgo afecta la imagen de alguna área de la organización</v>
      </c>
      <c r="Q83" s="453" t="s">
        <v>428</v>
      </c>
      <c r="R83" s="452">
        <f t="shared" si="47"/>
        <v>0.2</v>
      </c>
      <c r="S83" s="454" t="str">
        <f t="shared" si="48"/>
        <v>Bajo</v>
      </c>
      <c r="T83" s="457">
        <v>2</v>
      </c>
      <c r="U83" s="506" t="s">
        <v>463</v>
      </c>
      <c r="V83" s="457" t="str">
        <f t="shared" si="49"/>
        <v>Probabilidad</v>
      </c>
      <c r="W83" s="458" t="s">
        <v>187</v>
      </c>
      <c r="X83" s="458" t="s">
        <v>188</v>
      </c>
      <c r="Y83" s="459" t="str">
        <f t="shared" si="38"/>
        <v>40%</v>
      </c>
      <c r="Z83" s="458" t="s">
        <v>222</v>
      </c>
      <c r="AA83" s="458" t="s">
        <v>190</v>
      </c>
      <c r="AB83" s="458" t="s">
        <v>191</v>
      </c>
      <c r="AC83" s="460">
        <f>IFERROR(IF(AND(V82="Probabilidad",V83="Probabilidad"),(AE82-(+AE82*Y83)),IF(AND(V82="Impacto",V83="Probabilidad"),(AE81-(+AE81*Y83)),IF(V83="Impacto",AE82,""))),"")</f>
        <v>6.0479999999999992E-2</v>
      </c>
      <c r="AD83" s="461" t="str">
        <f t="shared" si="39"/>
        <v>Muy Baja</v>
      </c>
      <c r="AE83" s="462">
        <f t="shared" si="40"/>
        <v>6.0479999999999992E-2</v>
      </c>
      <c r="AF83" s="461" t="str">
        <f t="shared" si="41"/>
        <v>Catastrófico</v>
      </c>
      <c r="AG83" s="462">
        <f>IFERROR(IF(AND(V82="Impacto",V83="Impacto"),(AG82-(+AG82*Y83)),IF(AND(V82="Probabilidad",V83="Impacto"),(AG81-(+AG81*Y83)),IF(V83="Probabilidad",AG82,""))),"")</f>
        <v>1</v>
      </c>
      <c r="AH83" s="463" t="str">
        <f t="shared" si="42"/>
        <v>Extremo</v>
      </c>
      <c r="AI83" s="464" t="s">
        <v>192</v>
      </c>
      <c r="AJ83" s="477" t="s">
        <v>417</v>
      </c>
      <c r="AK83" s="477" t="s">
        <v>194</v>
      </c>
      <c r="AL83" s="477" t="s">
        <v>194</v>
      </c>
      <c r="AM83" s="477" t="s">
        <v>194</v>
      </c>
      <c r="AN83" s="477" t="s">
        <v>418</v>
      </c>
    </row>
    <row r="84" spans="1:40" ht="344.25" customHeight="1" x14ac:dyDescent="0.2">
      <c r="A84" s="469">
        <v>37</v>
      </c>
      <c r="B84" s="469" t="s">
        <v>458</v>
      </c>
      <c r="C84" s="470" t="s">
        <v>404</v>
      </c>
      <c r="D84" s="447" t="str">
        <f>IFERROR(INDEX('Base de datos gestión'!$D$28:$D$50,MATCH(C84,'Base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84" s="447" t="str">
        <f>IFERROR(INDEX('Base de datos gestión'!$E$28:$E$50,MATCH(C84,'Base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84" s="474" t="s">
        <v>234</v>
      </c>
      <c r="G84" s="475" t="s">
        <v>459</v>
      </c>
      <c r="H84" s="474" t="s">
        <v>460</v>
      </c>
      <c r="I84" s="474" t="s">
        <v>461</v>
      </c>
      <c r="J84" s="476" t="s">
        <v>182</v>
      </c>
      <c r="K84" s="476" t="s">
        <v>258</v>
      </c>
      <c r="L84" s="476">
        <v>5</v>
      </c>
      <c r="M84" s="450" t="str">
        <f t="shared" si="50"/>
        <v>Baja</v>
      </c>
      <c r="N84" s="451">
        <f t="shared" si="15"/>
        <v>0.4</v>
      </c>
      <c r="O84" s="452" t="s">
        <v>332</v>
      </c>
      <c r="P84" s="451" t="str">
        <f>IF(NOT(ISERROR(MATCH(O84,'Tabla Impacto'!$B$222:$B$224,0))),'Tabla Impacto'!$F$224&amp;"Por favor no seleccionar los criterios de impacto(Afectación Económica o presupuestal y Pérdida Reputacional)",O84)</f>
        <v xml:space="preserve">     El riesgo afecta la imagen de alguna área de la organización</v>
      </c>
      <c r="Q84" s="453" t="s">
        <v>428</v>
      </c>
      <c r="R84" s="452">
        <f t="shared" si="47"/>
        <v>0.2</v>
      </c>
      <c r="S84" s="454" t="str">
        <f t="shared" si="48"/>
        <v>Bajo</v>
      </c>
      <c r="T84" s="457">
        <v>3</v>
      </c>
      <c r="U84" s="477" t="s">
        <v>464</v>
      </c>
      <c r="V84" s="457" t="str">
        <f t="shared" si="49"/>
        <v>Probabilidad</v>
      </c>
      <c r="W84" s="458" t="s">
        <v>228</v>
      </c>
      <c r="X84" s="458" t="s">
        <v>188</v>
      </c>
      <c r="Y84" s="459" t="str">
        <f t="shared" si="38"/>
        <v>30%</v>
      </c>
      <c r="Z84" s="458" t="s">
        <v>222</v>
      </c>
      <c r="AA84" s="458" t="s">
        <v>190</v>
      </c>
      <c r="AB84" s="458" t="s">
        <v>191</v>
      </c>
      <c r="AC84" s="460">
        <f>IFERROR(IF(AND(V83="Probabilidad",V84="Probabilidad"),(AE83-(+AE83*Y84)),IF(AND(V83="Impacto",V84="Probabilidad"),(AE82-(+AE82*Y84)),IF(V84="Impacto",AE83,""))),"")</f>
        <v>4.2335999999999999E-2</v>
      </c>
      <c r="AD84" s="461" t="str">
        <f t="shared" si="39"/>
        <v>Muy Baja</v>
      </c>
      <c r="AE84" s="462">
        <f t="shared" si="40"/>
        <v>4.2335999999999999E-2</v>
      </c>
      <c r="AF84" s="461" t="str">
        <f t="shared" si="41"/>
        <v>Catastrófico</v>
      </c>
      <c r="AG84" s="462">
        <f>IFERROR(IF(AND(V83="Impacto",V84="Impacto"),(AG83-(+AG83*Y84)),IF(AND(V83="Probabilidad",V84="Impacto"),(AG82-(+AG82*Y84)),IF(V84="Probabilidad",AG83,""))),"")</f>
        <v>1</v>
      </c>
      <c r="AH84" s="463" t="str">
        <f t="shared" si="42"/>
        <v>Extremo</v>
      </c>
      <c r="AI84" s="464" t="s">
        <v>192</v>
      </c>
      <c r="AJ84" s="477" t="s">
        <v>417</v>
      </c>
      <c r="AK84" s="477" t="s">
        <v>194</v>
      </c>
      <c r="AL84" s="477" t="s">
        <v>194</v>
      </c>
      <c r="AM84" s="477" t="s">
        <v>194</v>
      </c>
      <c r="AN84" s="477" t="s">
        <v>418</v>
      </c>
    </row>
    <row r="85" spans="1:40" ht="151.5" customHeight="1" x14ac:dyDescent="0.2">
      <c r="A85" s="478">
        <v>38</v>
      </c>
      <c r="B85" s="478" t="s">
        <v>465</v>
      </c>
      <c r="C85" s="479" t="s">
        <v>404</v>
      </c>
      <c r="D85" s="447" t="str">
        <f>IFERROR(INDEX('Base de datos gestión'!$D$28:$D$50,MATCH(C85,'Base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85" s="447" t="str">
        <f>IFERROR(INDEX('Base de datos gestión'!$E$28:$E$50,MATCH(C85,'Base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85" s="474" t="s">
        <v>234</v>
      </c>
      <c r="G85" s="475" t="s">
        <v>466</v>
      </c>
      <c r="H85" s="474" t="s">
        <v>467</v>
      </c>
      <c r="I85" s="474" t="s">
        <v>468</v>
      </c>
      <c r="J85" s="481" t="s">
        <v>182</v>
      </c>
      <c r="K85" s="489" t="s">
        <v>258</v>
      </c>
      <c r="L85" s="476">
        <v>700</v>
      </c>
      <c r="M85" s="450" t="str">
        <f t="shared" si="50"/>
        <v>Alta</v>
      </c>
      <c r="N85" s="451">
        <f t="shared" ref="N85:N148" si="51">IF(M85="","",IF(M85="Muy Baja",0.2,IF(M85="Baja",0.4,IF(M85="Media",0.6,IF(M85="Alta",0.8,IF(M85="Muy Alta",1,))))))</f>
        <v>0.8</v>
      </c>
      <c r="O85" s="452" t="s">
        <v>214</v>
      </c>
      <c r="P85" s="451" t="str">
        <f>IF(NOT(ISERROR(MATCH(O85,'Tabla Impacto'!$B$222:$B$224,0))),'Tabla Impacto'!$F$224&amp;"Por favor no seleccionar los criterios de impacto(Afectación Económica o presupuestal y Pérdida Reputacional)",O85)</f>
        <v xml:space="preserve">     El riesgo afecta la imagen de la entidad con algunos usuarios de relevancia frente al logro de los objetivos</v>
      </c>
      <c r="Q85" s="453" t="s">
        <v>8</v>
      </c>
      <c r="R85" s="452">
        <f t="shared" si="47"/>
        <v>0.6</v>
      </c>
      <c r="S85" s="454" t="str">
        <f t="shared" si="48"/>
        <v>Alto</v>
      </c>
      <c r="T85" s="457">
        <v>1</v>
      </c>
      <c r="U85" s="477" t="s">
        <v>469</v>
      </c>
      <c r="V85" s="457" t="str">
        <f t="shared" si="49"/>
        <v>Probabilidad</v>
      </c>
      <c r="W85" s="458" t="s">
        <v>187</v>
      </c>
      <c r="X85" s="458" t="s">
        <v>188</v>
      </c>
      <c r="Y85" s="459" t="str">
        <f t="shared" si="38"/>
        <v>40%</v>
      </c>
      <c r="Z85" s="458" t="s">
        <v>222</v>
      </c>
      <c r="AA85" s="458" t="s">
        <v>190</v>
      </c>
      <c r="AB85" s="458" t="s">
        <v>191</v>
      </c>
      <c r="AC85" s="460">
        <f>IFERROR(IF(AND(V84="Probabilidad",V85="Probabilidad"),(AE84-(+AE84*Y85)),IF(AND(V84="Impacto",V85="Probabilidad"),(AE83-(+AE83*Y85)),IF(V85="Impacto",AE84,""))),"")</f>
        <v>2.54016E-2</v>
      </c>
      <c r="AD85" s="461" t="str">
        <f t="shared" si="39"/>
        <v>Muy Baja</v>
      </c>
      <c r="AE85" s="462">
        <f t="shared" si="40"/>
        <v>2.54016E-2</v>
      </c>
      <c r="AF85" s="461" t="str">
        <f t="shared" si="41"/>
        <v>Catastrófico</v>
      </c>
      <c r="AG85" s="462">
        <f>IFERROR(IF(AND(V84="Impacto",V85="Impacto"),(AG84-(+AG84*Y85)),IF(AND(V84="Probabilidad",V85="Impacto"),(AG83-(+AG83*Y85)),IF(V85="Probabilidad",AG84,""))),"")</f>
        <v>1</v>
      </c>
      <c r="AH85" s="463" t="str">
        <f t="shared" si="42"/>
        <v>Extremo</v>
      </c>
      <c r="AI85" s="464" t="s">
        <v>192</v>
      </c>
      <c r="AJ85" s="477" t="s">
        <v>470</v>
      </c>
      <c r="AK85" s="477" t="s">
        <v>470</v>
      </c>
      <c r="AL85" s="477" t="s">
        <v>471</v>
      </c>
      <c r="AM85" s="490">
        <v>45138</v>
      </c>
      <c r="AN85" s="468"/>
    </row>
    <row r="86" spans="1:40" ht="151.5" customHeight="1" x14ac:dyDescent="0.2">
      <c r="A86" s="446">
        <v>38</v>
      </c>
      <c r="B86" s="446" t="s">
        <v>465</v>
      </c>
      <c r="C86" s="447" t="s">
        <v>404</v>
      </c>
      <c r="D86" s="447" t="str">
        <f>IFERROR(INDEX('Base de datos gestión'!$D$28:$D$50,MATCH(C86,'Base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86" s="447" t="str">
        <f>IFERROR(INDEX('Base de datos gestión'!$E$28:$E$50,MATCH(C86,'Base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86" s="474" t="s">
        <v>234</v>
      </c>
      <c r="G86" s="475" t="s">
        <v>466</v>
      </c>
      <c r="H86" s="474" t="s">
        <v>472</v>
      </c>
      <c r="I86" s="474" t="s">
        <v>468</v>
      </c>
      <c r="J86" s="481" t="s">
        <v>182</v>
      </c>
      <c r="K86" s="489" t="s">
        <v>258</v>
      </c>
      <c r="L86" s="476">
        <v>700</v>
      </c>
      <c r="M86" s="450" t="str">
        <f>IF(L86&lt;=0,"",IF(L86&lt;=2,"Muy Baja",IF(L86&lt;=24,"Baja",IF(L86&lt;=500,"Media",IF(L86&lt;=5000,"Alta","Muy Alta")))))</f>
        <v>Alta</v>
      </c>
      <c r="N86" s="451">
        <f t="shared" si="51"/>
        <v>0.8</v>
      </c>
      <c r="O86" s="452" t="s">
        <v>214</v>
      </c>
      <c r="P86" s="451" t="str">
        <f>IF(NOT(ISERROR(MATCH(O86,'Tabla Impacto'!$B$222:$B$224,0))),'Tabla Impacto'!$F$224&amp;"Por favor no seleccionar los criterios de impacto(Afectación Económica o presupuestal y Pérdida Reputacional)",O86)</f>
        <v xml:space="preserve">     El riesgo afecta la imagen de la entidad con algunos usuarios de relevancia frente al logro de los objetivos</v>
      </c>
      <c r="Q86" s="453" t="s">
        <v>8</v>
      </c>
      <c r="R86" s="452">
        <f t="shared" si="47"/>
        <v>0.6</v>
      </c>
      <c r="S86" s="454" t="str">
        <f t="shared" si="48"/>
        <v>Alto</v>
      </c>
      <c r="T86" s="457">
        <v>2</v>
      </c>
      <c r="U86" s="477" t="s">
        <v>473</v>
      </c>
      <c r="V86" s="457" t="str">
        <f t="shared" si="49"/>
        <v>Probabilidad</v>
      </c>
      <c r="W86" s="458" t="s">
        <v>187</v>
      </c>
      <c r="X86" s="458" t="s">
        <v>188</v>
      </c>
      <c r="Y86" s="459" t="str">
        <f t="shared" si="38"/>
        <v>40%</v>
      </c>
      <c r="Z86" s="458" t="s">
        <v>222</v>
      </c>
      <c r="AA86" s="458" t="s">
        <v>190</v>
      </c>
      <c r="AB86" s="458" t="s">
        <v>191</v>
      </c>
      <c r="AC86" s="460">
        <f>IFERROR(IF(V86="Probabilidad",(N86-(+N86*Y86)),IF(V86="Impacto",N86,"")),"")</f>
        <v>0.48</v>
      </c>
      <c r="AD86" s="461" t="str">
        <f t="shared" si="39"/>
        <v>Media</v>
      </c>
      <c r="AE86" s="462">
        <f t="shared" si="40"/>
        <v>0.48</v>
      </c>
      <c r="AF86" s="461" t="str">
        <f t="shared" si="41"/>
        <v>Moderado</v>
      </c>
      <c r="AG86" s="462">
        <f>IFERROR(IF(V86="Impacto",(R86-(+R86*Y86)),IF(V86="Probabilidad",R86,"")),"")</f>
        <v>0.6</v>
      </c>
      <c r="AH86" s="463" t="str">
        <f t="shared" si="42"/>
        <v>Moderado</v>
      </c>
      <c r="AI86" s="464" t="s">
        <v>192</v>
      </c>
      <c r="AJ86" s="477" t="s">
        <v>470</v>
      </c>
      <c r="AK86" s="477" t="s">
        <v>470</v>
      </c>
      <c r="AL86" s="477" t="s">
        <v>471</v>
      </c>
      <c r="AM86" s="490">
        <v>45138</v>
      </c>
      <c r="AN86" s="468"/>
    </row>
    <row r="87" spans="1:40" ht="151.5" customHeight="1" x14ac:dyDescent="0.2">
      <c r="A87" s="469">
        <v>38</v>
      </c>
      <c r="B87" s="469" t="s">
        <v>465</v>
      </c>
      <c r="C87" s="470" t="s">
        <v>404</v>
      </c>
      <c r="D87" s="447" t="str">
        <f>IFERROR(INDEX('Base de datos gestión'!$D$28:$D$50,MATCH(C87,'Base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87" s="447" t="str">
        <f>IFERROR(INDEX('Base de datos gestión'!$E$28:$E$50,MATCH(C87,'Base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87" s="474" t="s">
        <v>234</v>
      </c>
      <c r="G87" s="475" t="s">
        <v>466</v>
      </c>
      <c r="H87" s="474" t="s">
        <v>474</v>
      </c>
      <c r="I87" s="474" t="s">
        <v>468</v>
      </c>
      <c r="J87" s="481" t="s">
        <v>182</v>
      </c>
      <c r="K87" s="489" t="s">
        <v>258</v>
      </c>
      <c r="L87" s="476">
        <v>700</v>
      </c>
      <c r="M87" s="450" t="str">
        <f>IF(L87&lt;=0,"",IF(L87&lt;=2,"Muy Baja",IF(L87&lt;=24,"Baja",IF(L87&lt;=500,"Media",IF(L87&lt;=5000,"Alta","Muy Alta")))))</f>
        <v>Alta</v>
      </c>
      <c r="N87" s="451">
        <f t="shared" si="51"/>
        <v>0.8</v>
      </c>
      <c r="O87" s="452" t="s">
        <v>214</v>
      </c>
      <c r="P87" s="451" t="str">
        <f>IF(NOT(ISERROR(MATCH(O87,'Tabla Impacto'!$B$222:$B$224,0))),'Tabla Impacto'!$F$224&amp;"Por favor no seleccionar los criterios de impacto(Afectación Económica o presupuestal y Pérdida Reputacional)",O87)</f>
        <v xml:space="preserve">     El riesgo afecta la imagen de la entidad con algunos usuarios de relevancia frente al logro de los objetivos</v>
      </c>
      <c r="Q87" s="453" t="s">
        <v>8</v>
      </c>
      <c r="R87" s="452">
        <f t="shared" si="47"/>
        <v>0.6</v>
      </c>
      <c r="S87" s="454" t="str">
        <f t="shared" si="48"/>
        <v>Alto</v>
      </c>
      <c r="T87" s="457">
        <v>3</v>
      </c>
      <c r="U87" s="477" t="s">
        <v>475</v>
      </c>
      <c r="V87" s="457" t="str">
        <f t="shared" si="49"/>
        <v>Impacto</v>
      </c>
      <c r="W87" s="458" t="s">
        <v>209</v>
      </c>
      <c r="X87" s="458" t="s">
        <v>188</v>
      </c>
      <c r="Y87" s="459" t="str">
        <f t="shared" si="38"/>
        <v>25%</v>
      </c>
      <c r="Z87" s="458" t="s">
        <v>189</v>
      </c>
      <c r="AA87" s="458" t="s">
        <v>202</v>
      </c>
      <c r="AB87" s="458" t="s">
        <v>191</v>
      </c>
      <c r="AC87" s="460">
        <f>IFERROR(IF(AND(V86="Probabilidad",V87="Probabilidad"),(AE86-(+AE86*Y87)),IF(V87="Probabilidad",(N86-(+N86*Y87)),IF(V87="Impacto",AE86,""))),"")</f>
        <v>0.48</v>
      </c>
      <c r="AD87" s="461" t="str">
        <f t="shared" si="39"/>
        <v>Media</v>
      </c>
      <c r="AE87" s="462">
        <f t="shared" si="40"/>
        <v>0.48</v>
      </c>
      <c r="AF87" s="461" t="str">
        <f t="shared" si="41"/>
        <v>Moderado</v>
      </c>
      <c r="AG87" s="462">
        <f>IFERROR(IF(AND(V86="Impacto",V87="Impacto"),(AG80-(+AG80*Y87)),IF(V87="Impacto",($R$50-(+$R$50*Y87)),IF(V87="Probabilidad",AG80,""))),"")</f>
        <v>0.44999999999999996</v>
      </c>
      <c r="AH87" s="463" t="str">
        <f t="shared" si="42"/>
        <v>Moderado</v>
      </c>
      <c r="AI87" s="464" t="s">
        <v>192</v>
      </c>
      <c r="AJ87" s="477" t="s">
        <v>476</v>
      </c>
      <c r="AK87" s="477" t="s">
        <v>476</v>
      </c>
      <c r="AL87" s="477" t="s">
        <v>477</v>
      </c>
      <c r="AM87" s="490">
        <v>45230</v>
      </c>
      <c r="AN87" s="468"/>
    </row>
    <row r="88" spans="1:40" ht="342" x14ac:dyDescent="0.2">
      <c r="A88" s="469">
        <v>38</v>
      </c>
      <c r="B88" s="469" t="s">
        <v>465</v>
      </c>
      <c r="C88" s="470" t="s">
        <v>404</v>
      </c>
      <c r="D88" s="447" t="str">
        <f>IFERROR(INDEX('Base de datos gestión'!$D$28:$D$50,MATCH(C88,'Base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88" s="447" t="str">
        <f>IFERROR(INDEX('Base de datos gestión'!$E$28:$E$50,MATCH(C88,'Base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88" s="474" t="s">
        <v>234</v>
      </c>
      <c r="G88" s="475" t="s">
        <v>466</v>
      </c>
      <c r="H88" s="474" t="s">
        <v>478</v>
      </c>
      <c r="I88" s="474" t="s">
        <v>468</v>
      </c>
      <c r="J88" s="481" t="s">
        <v>182</v>
      </c>
      <c r="K88" s="489" t="s">
        <v>258</v>
      </c>
      <c r="L88" s="476">
        <v>700</v>
      </c>
      <c r="M88" s="450" t="str">
        <f t="shared" ref="M88:M91" si="52">IF(L88&lt;=0,"",IF(L88&lt;=2,"Muy Baja",IF(L88&lt;=24,"Baja",IF(L88&lt;=500,"Media",IF(L88&lt;=5000,"Alta","Muy Alta")))))</f>
        <v>Alta</v>
      </c>
      <c r="N88" s="451">
        <f t="shared" si="51"/>
        <v>0.8</v>
      </c>
      <c r="O88" s="452" t="s">
        <v>214</v>
      </c>
      <c r="P88" s="451" t="str">
        <f>IF(NOT(ISERROR(MATCH(O88,'Tabla Impacto'!$B$222:$B$224,0))),'Tabla Impacto'!$F$224&amp;"Por favor no seleccionar los criterios de impacto(Afectación Económica o presupuestal y Pérdida Reputacional)",O88)</f>
        <v xml:space="preserve">     El riesgo afecta la imagen de la entidad con algunos usuarios de relevancia frente al logro de los objetivos</v>
      </c>
      <c r="Q88" s="453" t="s">
        <v>8</v>
      </c>
      <c r="R88" s="452">
        <f t="shared" si="47"/>
        <v>0.6</v>
      </c>
      <c r="S88" s="454" t="str">
        <f t="shared" si="48"/>
        <v>Alto</v>
      </c>
      <c r="T88" s="457">
        <v>4</v>
      </c>
      <c r="U88" s="477" t="s">
        <v>479</v>
      </c>
      <c r="V88" s="457" t="str">
        <f t="shared" si="49"/>
        <v>Probabilidad</v>
      </c>
      <c r="W88" s="458" t="s">
        <v>187</v>
      </c>
      <c r="X88" s="458" t="s">
        <v>188</v>
      </c>
      <c r="Y88" s="459" t="str">
        <f t="shared" si="38"/>
        <v>40%</v>
      </c>
      <c r="Z88" s="458" t="s">
        <v>189</v>
      </c>
      <c r="AA88" s="458" t="s">
        <v>190</v>
      </c>
      <c r="AB88" s="458" t="s">
        <v>216</v>
      </c>
      <c r="AC88" s="460">
        <f>IFERROR(IF(AND(V87="Probabilidad",V88="Probabilidad"),(AE87-(+AE87*Y88)),IF(AND(V87="Impacto",V88="Probabilidad"),(AE86-(+AE86*Y88)),IF(V88="Impacto",AE87,""))),"")</f>
        <v>0.28799999999999998</v>
      </c>
      <c r="AD88" s="461" t="str">
        <f t="shared" si="39"/>
        <v>Baja</v>
      </c>
      <c r="AE88" s="462">
        <f t="shared" si="40"/>
        <v>0.28799999999999998</v>
      </c>
      <c r="AF88" s="461" t="str">
        <f t="shared" si="41"/>
        <v>Moderado</v>
      </c>
      <c r="AG88" s="462">
        <f>IFERROR(IF(AND(V87="Impacto",V88="Impacto"),(AG87-(+AG87*Y88)),IF(AND(V87="Probabilidad",V88="Impacto"),(AG86-(+AG86*Y88)),IF(V88="Probabilidad",AG87,""))),"")</f>
        <v>0.44999999999999996</v>
      </c>
      <c r="AH88" s="463" t="str">
        <f t="shared" si="42"/>
        <v>Moderado</v>
      </c>
      <c r="AI88" s="464" t="s">
        <v>192</v>
      </c>
      <c r="AJ88" s="477" t="s">
        <v>480</v>
      </c>
      <c r="AK88" s="477" t="s">
        <v>480</v>
      </c>
      <c r="AL88" s="477" t="s">
        <v>477</v>
      </c>
      <c r="AM88" s="490">
        <v>45230</v>
      </c>
      <c r="AN88" s="468"/>
    </row>
    <row r="89" spans="1:40" ht="409.5" x14ac:dyDescent="0.2">
      <c r="A89" s="469">
        <v>39</v>
      </c>
      <c r="B89" s="469" t="s">
        <v>481</v>
      </c>
      <c r="C89" s="470" t="s">
        <v>482</v>
      </c>
      <c r="D89" s="447" t="str">
        <f>IFERROR(INDEX('Base de datos gestión'!$D$28:$D$50,MATCH(C89,'Base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89" s="447" t="str">
        <f>IFERROR(INDEX('Base de datos gestión'!$E$28:$E$50,MATCH(C89,'Base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89" s="474" t="s">
        <v>234</v>
      </c>
      <c r="G89" s="475" t="s">
        <v>483</v>
      </c>
      <c r="H89" s="474" t="s">
        <v>484</v>
      </c>
      <c r="I89" s="474" t="s">
        <v>485</v>
      </c>
      <c r="J89" s="476" t="s">
        <v>182</v>
      </c>
      <c r="K89" s="476" t="s">
        <v>183</v>
      </c>
      <c r="L89" s="476">
        <v>100</v>
      </c>
      <c r="M89" s="450" t="str">
        <f t="shared" si="52"/>
        <v>Media</v>
      </c>
      <c r="N89" s="451">
        <f t="shared" si="51"/>
        <v>0.6</v>
      </c>
      <c r="O89" s="452" t="s">
        <v>339</v>
      </c>
      <c r="P89" s="451" t="str">
        <f>IF(NOT(ISERROR(MATCH(O89,'Tabla Impacto'!$B$222:$B$224,0))),'Tabla Impacto'!$F$224&amp;"Por favor no seleccionar los criterios de impacto(Afectación Económica o presupuestal y Pérdida Reputacional)",O89)</f>
        <v xml:space="preserve">     El riesgo afecta la imagen de la entidad a nivel nacional, con efecto publicitarios sostenible a nivel país</v>
      </c>
      <c r="Q89" s="453" t="str">
        <f>IF(OR(P89='[1]Tabla Impacto'!$C$12,P89='[1]Tabla Impacto'!$D$12),"Leve",IF(OR(P89='[1]Tabla Impacto'!$C$13,P89='[1]Tabla Impacto'!$D$13),"Menor",IF(OR(P89='[1]Tabla Impacto'!$C$14,P89='[1]Tabla Impacto'!$D$14),"Moderado",IF(OR(P89='[1]Tabla Impacto'!$C$15,P89='[1]Tabla Impacto'!$D$15),"Mayor",IF(OR(P89='[1]Tabla Impacto'!$C$16,P89='[1]Tabla Impacto'!$D$16),"Catastrófico","")))))</f>
        <v>Catastrófico</v>
      </c>
      <c r="R89" s="452">
        <f t="shared" si="47"/>
        <v>1</v>
      </c>
      <c r="S89" s="454" t="str">
        <f t="shared" si="48"/>
        <v>Extremo</v>
      </c>
      <c r="T89" s="457">
        <v>1</v>
      </c>
      <c r="U89" s="477" t="s">
        <v>486</v>
      </c>
      <c r="V89" s="457" t="str">
        <f t="shared" si="49"/>
        <v>Impacto</v>
      </c>
      <c r="W89" s="458" t="s">
        <v>209</v>
      </c>
      <c r="X89" s="458" t="s">
        <v>188</v>
      </c>
      <c r="Y89" s="459" t="str">
        <f t="shared" si="38"/>
        <v>25%</v>
      </c>
      <c r="Z89" s="458" t="s">
        <v>222</v>
      </c>
      <c r="AA89" s="458" t="s">
        <v>190</v>
      </c>
      <c r="AB89" s="458" t="s">
        <v>191</v>
      </c>
      <c r="AC89" s="460">
        <f>IFERROR(IF(AND(V88="Probabilidad",V89="Probabilidad"),(AE88-(+AE88*Y89)),IF(AND(V88="Impacto",V89="Probabilidad"),(AE87-(+AE87*Y89)),IF(V89="Impacto",AE88,""))),"")</f>
        <v>0.28799999999999998</v>
      </c>
      <c r="AD89" s="461" t="str">
        <f t="shared" si="39"/>
        <v>Baja</v>
      </c>
      <c r="AE89" s="462">
        <f t="shared" si="40"/>
        <v>0.28799999999999998</v>
      </c>
      <c r="AF89" s="461" t="str">
        <f t="shared" si="41"/>
        <v>Menor</v>
      </c>
      <c r="AG89" s="462">
        <f>IFERROR(IF(AND(V88="Impacto",V89="Impacto"),(AG88-(+AG88*Y89)),IF(AND(V88="Probabilidad",V89="Impacto"),(AG87-(+AG87*Y89)),IF(V89="Probabilidad",AG88,""))),"")</f>
        <v>0.33749999999999997</v>
      </c>
      <c r="AH89" s="463" t="str">
        <f t="shared" si="42"/>
        <v>Moderado</v>
      </c>
      <c r="AI89" s="464" t="s">
        <v>192</v>
      </c>
      <c r="AJ89" s="465"/>
      <c r="AK89" s="465" t="s">
        <v>487</v>
      </c>
      <c r="AL89" s="465"/>
      <c r="AM89" s="466"/>
      <c r="AN89" s="468"/>
    </row>
    <row r="90" spans="1:40" ht="409.5" x14ac:dyDescent="0.2">
      <c r="A90" s="469">
        <v>39</v>
      </c>
      <c r="B90" s="469" t="s">
        <v>481</v>
      </c>
      <c r="C90" s="470" t="s">
        <v>482</v>
      </c>
      <c r="D90" s="447" t="str">
        <f>IFERROR(INDEX('Base de datos gestión'!$D$28:$D$50,MATCH(C90,'Base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90" s="447" t="str">
        <f>IFERROR(INDEX('Base de datos gestión'!$E$28:$E$50,MATCH(C90,'Base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90" s="474" t="s">
        <v>234</v>
      </c>
      <c r="G90" s="475" t="s">
        <v>483</v>
      </c>
      <c r="H90" s="474" t="s">
        <v>484</v>
      </c>
      <c r="I90" s="474" t="s">
        <v>485</v>
      </c>
      <c r="J90" s="476" t="s">
        <v>182</v>
      </c>
      <c r="K90" s="476" t="s">
        <v>183</v>
      </c>
      <c r="L90" s="476">
        <v>100</v>
      </c>
      <c r="M90" s="450" t="str">
        <f t="shared" si="52"/>
        <v>Media</v>
      </c>
      <c r="N90" s="451">
        <f t="shared" si="51"/>
        <v>0.6</v>
      </c>
      <c r="O90" s="452" t="s">
        <v>339</v>
      </c>
      <c r="P90" s="451" t="str">
        <f>IF(NOT(ISERROR(MATCH(O90,'Tabla Impacto'!$B$222:$B$224,0))),'Tabla Impacto'!$F$224&amp;"Por favor no seleccionar los criterios de impacto(Afectación Económica o presupuestal y Pérdida Reputacional)",O90)</f>
        <v xml:space="preserve">     El riesgo afecta la imagen de la entidad a nivel nacional, con efecto publicitarios sostenible a nivel país</v>
      </c>
      <c r="Q90" s="453" t="str">
        <f>IF(OR(P90='[1]Tabla Impacto'!$C$12,P90='[1]Tabla Impacto'!$D$12),"Leve",IF(OR(P90='[1]Tabla Impacto'!$C$13,P90='[1]Tabla Impacto'!$D$13),"Menor",IF(OR(P90='[1]Tabla Impacto'!$C$14,P90='[1]Tabla Impacto'!$D$14),"Moderado",IF(OR(P90='[1]Tabla Impacto'!$C$15,P90='[1]Tabla Impacto'!$D$15),"Mayor",IF(OR(P90='[1]Tabla Impacto'!$C$16,P90='[1]Tabla Impacto'!$D$16),"Catastrófico","")))))</f>
        <v>Catastrófico</v>
      </c>
      <c r="R90" s="452">
        <f t="shared" si="47"/>
        <v>1</v>
      </c>
      <c r="S90" s="454" t="str">
        <f t="shared" si="48"/>
        <v>Extremo</v>
      </c>
      <c r="T90" s="457">
        <v>2</v>
      </c>
      <c r="U90" s="477" t="s">
        <v>488</v>
      </c>
      <c r="V90" s="457" t="str">
        <f t="shared" si="49"/>
        <v>Impacto</v>
      </c>
      <c r="W90" s="458" t="s">
        <v>209</v>
      </c>
      <c r="X90" s="458" t="s">
        <v>188</v>
      </c>
      <c r="Y90" s="459" t="str">
        <f t="shared" si="38"/>
        <v>25%</v>
      </c>
      <c r="Z90" s="458" t="s">
        <v>222</v>
      </c>
      <c r="AA90" s="458" t="s">
        <v>190</v>
      </c>
      <c r="AB90" s="458" t="s">
        <v>191</v>
      </c>
      <c r="AC90" s="460">
        <f>IFERROR(IF(AND(V89="Probabilidad",V90="Probabilidad"),(AE89-(+AE89*Y90)),IF(AND(V89="Impacto",V90="Probabilidad"),(AE88-(+AE88*Y90)),IF(V90="Impacto",AE89,""))),"")</f>
        <v>0.28799999999999998</v>
      </c>
      <c r="AD90" s="461" t="str">
        <f t="shared" si="39"/>
        <v>Baja</v>
      </c>
      <c r="AE90" s="462">
        <f t="shared" si="40"/>
        <v>0.28799999999999998</v>
      </c>
      <c r="AF90" s="461" t="str">
        <f t="shared" si="41"/>
        <v>Menor</v>
      </c>
      <c r="AG90" s="462">
        <f>IFERROR(IF(AND(V89="Impacto",V90="Impacto"),(AG89-(+AG89*Y90)),IF(AND(V89="Probabilidad",V90="Impacto"),(AG88-(+AG88*Y90)),IF(V90="Probabilidad",AG89,""))),"")</f>
        <v>0.25312499999999999</v>
      </c>
      <c r="AH90" s="463" t="str">
        <f t="shared" si="42"/>
        <v>Moderado</v>
      </c>
      <c r="AI90" s="464" t="s">
        <v>192</v>
      </c>
      <c r="AJ90" s="465"/>
      <c r="AK90" s="465" t="s">
        <v>489</v>
      </c>
      <c r="AL90" s="465"/>
      <c r="AM90" s="466"/>
      <c r="AN90" s="468"/>
    </row>
    <row r="91" spans="1:40" ht="409.5" x14ac:dyDescent="0.2">
      <c r="A91" s="478">
        <v>39</v>
      </c>
      <c r="B91" s="478" t="s">
        <v>481</v>
      </c>
      <c r="C91" s="479" t="s">
        <v>482</v>
      </c>
      <c r="D91" s="447" t="str">
        <f>IFERROR(INDEX('Base de datos gestión'!$D$28:$D$50,MATCH(C91,'Base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91" s="447" t="str">
        <f>IFERROR(INDEX('Base de datos gestión'!$E$28:$E$50,MATCH(C91,'Base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91" s="474" t="s">
        <v>234</v>
      </c>
      <c r="G91" s="475" t="s">
        <v>483</v>
      </c>
      <c r="H91" s="474" t="s">
        <v>484</v>
      </c>
      <c r="I91" s="474" t="s">
        <v>485</v>
      </c>
      <c r="J91" s="476" t="s">
        <v>182</v>
      </c>
      <c r="K91" s="476" t="s">
        <v>183</v>
      </c>
      <c r="L91" s="476">
        <v>100</v>
      </c>
      <c r="M91" s="450" t="str">
        <f t="shared" si="52"/>
        <v>Media</v>
      </c>
      <c r="N91" s="451">
        <f t="shared" si="51"/>
        <v>0.6</v>
      </c>
      <c r="O91" s="452" t="s">
        <v>339</v>
      </c>
      <c r="P91" s="451" t="str">
        <f>IF(NOT(ISERROR(MATCH(O91,'Tabla Impacto'!$B$222:$B$224,0))),'Tabla Impacto'!$F$224&amp;"Por favor no seleccionar los criterios de impacto(Afectación Económica o presupuestal y Pérdida Reputacional)",O91)</f>
        <v xml:space="preserve">     El riesgo afecta la imagen de la entidad a nivel nacional, con efecto publicitarios sostenible a nivel país</v>
      </c>
      <c r="Q91" s="453" t="str">
        <f>IF(OR(P91='[1]Tabla Impacto'!$C$12,P91='[1]Tabla Impacto'!$D$12),"Leve",IF(OR(P91='[1]Tabla Impacto'!$C$13,P91='[1]Tabla Impacto'!$D$13),"Menor",IF(OR(P91='[1]Tabla Impacto'!$C$14,P91='[1]Tabla Impacto'!$D$14),"Moderado",IF(OR(P91='[1]Tabla Impacto'!$C$15,P91='[1]Tabla Impacto'!$D$15),"Mayor",IF(OR(P91='[1]Tabla Impacto'!$C$16,P91='[1]Tabla Impacto'!$D$16),"Catastrófico","")))))</f>
        <v>Catastrófico</v>
      </c>
      <c r="R91" s="452">
        <f t="shared" si="47"/>
        <v>1</v>
      </c>
      <c r="S91" s="454" t="str">
        <f t="shared" si="48"/>
        <v>Extremo</v>
      </c>
      <c r="T91" s="457">
        <v>3</v>
      </c>
      <c r="U91" s="477" t="s">
        <v>490</v>
      </c>
      <c r="V91" s="457" t="str">
        <f t="shared" si="49"/>
        <v>Probabilidad</v>
      </c>
      <c r="W91" s="458" t="s">
        <v>228</v>
      </c>
      <c r="X91" s="458" t="s">
        <v>188</v>
      </c>
      <c r="Y91" s="459" t="str">
        <f t="shared" si="38"/>
        <v>30%</v>
      </c>
      <c r="Z91" s="458" t="s">
        <v>222</v>
      </c>
      <c r="AA91" s="458" t="s">
        <v>190</v>
      </c>
      <c r="AB91" s="458" t="s">
        <v>191</v>
      </c>
      <c r="AC91" s="460">
        <f>IFERROR(IF(AND(V90="Probabilidad",V91="Probabilidad"),(AE90-(+AE90*Y91)),IF(AND(V90="Impacto",V91="Probabilidad"),(AE89-(+AE89*Y91)),IF(V91="Impacto",AE90,""))),"")</f>
        <v>0.2016</v>
      </c>
      <c r="AD91" s="461" t="str">
        <f t="shared" si="39"/>
        <v>Baja</v>
      </c>
      <c r="AE91" s="462">
        <f t="shared" si="40"/>
        <v>0.2016</v>
      </c>
      <c r="AF91" s="461" t="str">
        <f t="shared" si="41"/>
        <v>Menor</v>
      </c>
      <c r="AG91" s="462">
        <f>IFERROR(IF(AND(V90="Impacto",V91="Impacto"),(AG90-(+AG90*Y91)),IF(AND(V90="Probabilidad",V91="Impacto"),(AG89-(+AG89*Y91)),IF(V91="Probabilidad",AG90,""))),"")</f>
        <v>0.25312499999999999</v>
      </c>
      <c r="AH91" s="463" t="str">
        <f t="shared" si="42"/>
        <v>Moderado</v>
      </c>
      <c r="AI91" s="464" t="s">
        <v>192</v>
      </c>
      <c r="AJ91" s="465"/>
      <c r="AK91" s="465" t="s">
        <v>491</v>
      </c>
      <c r="AL91" s="465"/>
      <c r="AM91" s="466"/>
      <c r="AN91" s="468"/>
    </row>
    <row r="92" spans="1:40" ht="409.5" x14ac:dyDescent="0.2">
      <c r="A92" s="446">
        <v>39</v>
      </c>
      <c r="B92" s="446" t="s">
        <v>481</v>
      </c>
      <c r="C92" s="447" t="s">
        <v>482</v>
      </c>
      <c r="D92" s="447" t="str">
        <f>IFERROR(INDEX('Base de datos gestión'!$D$28:$D$50,MATCH(C92,'Base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92" s="447" t="str">
        <f>IFERROR(INDEX('Base de datos gestión'!$E$28:$E$50,MATCH(C92,'Base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92" s="474" t="s">
        <v>234</v>
      </c>
      <c r="G92" s="475" t="s">
        <v>483</v>
      </c>
      <c r="H92" s="474" t="s">
        <v>484</v>
      </c>
      <c r="I92" s="474" t="s">
        <v>485</v>
      </c>
      <c r="J92" s="476" t="s">
        <v>182</v>
      </c>
      <c r="K92" s="476" t="s">
        <v>183</v>
      </c>
      <c r="L92" s="476">
        <v>100</v>
      </c>
      <c r="M92" s="450" t="str">
        <f>IF(L92&lt;=0,"",IF(L92&lt;=2,"Muy Baja",IF(L92&lt;=24,"Baja",IF(L92&lt;=500,"Media",IF(L92&lt;=5000,"Alta","Muy Alta")))))</f>
        <v>Media</v>
      </c>
      <c r="N92" s="451">
        <f t="shared" si="51"/>
        <v>0.6</v>
      </c>
      <c r="O92" s="452" t="s">
        <v>339</v>
      </c>
      <c r="P92" s="451" t="str">
        <f>IF(NOT(ISERROR(MATCH(O92,'Tabla Impacto'!$B$222:$B$224,0))),'Tabla Impacto'!$F$224&amp;"Por favor no seleccionar los criterios de impacto(Afectación Económica o presupuestal y Pérdida Reputacional)",O92)</f>
        <v xml:space="preserve">     El riesgo afecta la imagen de la entidad a nivel nacional, con efecto publicitarios sostenible a nivel país</v>
      </c>
      <c r="Q92" s="453" t="str">
        <f>IF(OR(P92='[1]Tabla Impacto'!$C$12,P92='[1]Tabla Impacto'!$D$12),"Leve",IF(OR(P92='[1]Tabla Impacto'!$C$13,P92='[1]Tabla Impacto'!$D$13),"Menor",IF(OR(P92='[1]Tabla Impacto'!$C$14,P92='[1]Tabla Impacto'!$D$14),"Moderado",IF(OR(P92='[1]Tabla Impacto'!$C$15,P92='[1]Tabla Impacto'!$D$15),"Mayor",IF(OR(P92='[1]Tabla Impacto'!$C$16,P92='[1]Tabla Impacto'!$D$16),"Catastrófico","")))))</f>
        <v>Catastrófico</v>
      </c>
      <c r="R92" s="452">
        <f t="shared" si="47"/>
        <v>1</v>
      </c>
      <c r="S92" s="454" t="str">
        <f t="shared" si="48"/>
        <v>Extremo</v>
      </c>
      <c r="T92" s="457">
        <v>4</v>
      </c>
      <c r="U92" s="477" t="s">
        <v>492</v>
      </c>
      <c r="V92" s="457" t="str">
        <f t="shared" si="49"/>
        <v>Probabilidad</v>
      </c>
      <c r="W92" s="458" t="s">
        <v>187</v>
      </c>
      <c r="X92" s="458" t="s">
        <v>188</v>
      </c>
      <c r="Y92" s="459" t="str">
        <f t="shared" si="38"/>
        <v>40%</v>
      </c>
      <c r="Z92" s="458" t="s">
        <v>222</v>
      </c>
      <c r="AA92" s="458" t="s">
        <v>190</v>
      </c>
      <c r="AB92" s="458" t="s">
        <v>191</v>
      </c>
      <c r="AC92" s="460">
        <f>IFERROR(IF(V92="Probabilidad",(N92-(+N92*Y92)),IF(V92="Impacto",N92,"")),"")</f>
        <v>0.36</v>
      </c>
      <c r="AD92" s="461" t="str">
        <f t="shared" si="39"/>
        <v>Baja</v>
      </c>
      <c r="AE92" s="462">
        <f t="shared" si="40"/>
        <v>0.36</v>
      </c>
      <c r="AF92" s="461" t="str">
        <f t="shared" si="41"/>
        <v>Catastrófico</v>
      </c>
      <c r="AG92" s="462">
        <f>IFERROR(IF(V92="Impacto",(R92-(+R92*Y92)),IF(V92="Probabilidad",R92,"")),"")</f>
        <v>1</v>
      </c>
      <c r="AH92" s="463" t="str">
        <f t="shared" si="42"/>
        <v>Extremo</v>
      </c>
      <c r="AI92" s="464" t="s">
        <v>192</v>
      </c>
      <c r="AJ92" s="465"/>
      <c r="AK92" s="491" t="s">
        <v>493</v>
      </c>
      <c r="AL92" s="465"/>
      <c r="AM92" s="466"/>
      <c r="AN92" s="468"/>
    </row>
    <row r="93" spans="1:40" ht="409.5" x14ac:dyDescent="0.2">
      <c r="A93" s="469">
        <v>39</v>
      </c>
      <c r="B93" s="469" t="s">
        <v>481</v>
      </c>
      <c r="C93" s="470" t="s">
        <v>482</v>
      </c>
      <c r="D93" s="447" t="str">
        <f>IFERROR(INDEX('Base de datos gestión'!$D$28:$D$50,MATCH(C93,'Base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93" s="447" t="str">
        <f>IFERROR(INDEX('Base de datos gestión'!$E$28:$E$50,MATCH(C93,'Base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93" s="474" t="s">
        <v>234</v>
      </c>
      <c r="G93" s="475" t="s">
        <v>483</v>
      </c>
      <c r="H93" s="474" t="s">
        <v>484</v>
      </c>
      <c r="I93" s="474" t="s">
        <v>485</v>
      </c>
      <c r="J93" s="476" t="s">
        <v>182</v>
      </c>
      <c r="K93" s="476" t="s">
        <v>183</v>
      </c>
      <c r="L93" s="476">
        <v>100</v>
      </c>
      <c r="M93" s="450" t="str">
        <f>IF(L93&lt;=0,"",IF(L93&lt;=2,"Muy Baja",IF(L93&lt;=24,"Baja",IF(L93&lt;=500,"Media",IF(L93&lt;=5000,"Alta","Muy Alta")))))</f>
        <v>Media</v>
      </c>
      <c r="N93" s="451">
        <f t="shared" si="51"/>
        <v>0.6</v>
      </c>
      <c r="O93" s="452" t="s">
        <v>339</v>
      </c>
      <c r="P93" s="451" t="str">
        <f>IF(NOT(ISERROR(MATCH(O93,'Tabla Impacto'!$B$222:$B$224,0))),'Tabla Impacto'!$F$224&amp;"Por favor no seleccionar los criterios de impacto(Afectación Económica o presupuestal y Pérdida Reputacional)",O93)</f>
        <v xml:space="preserve">     El riesgo afecta la imagen de la entidad a nivel nacional, con efecto publicitarios sostenible a nivel país</v>
      </c>
      <c r="Q93" s="453" t="str">
        <f>IF(OR(P93='[1]Tabla Impacto'!$C$12,P93='[1]Tabla Impacto'!$D$12),"Leve",IF(OR(P93='[1]Tabla Impacto'!$C$13,P93='[1]Tabla Impacto'!$D$13),"Menor",IF(OR(P93='[1]Tabla Impacto'!$C$14,P93='[1]Tabla Impacto'!$D$14),"Moderado",IF(OR(P93='[1]Tabla Impacto'!$C$15,P93='[1]Tabla Impacto'!$D$15),"Mayor",IF(OR(P93='[1]Tabla Impacto'!$C$16,P93='[1]Tabla Impacto'!$D$16),"Catastrófico","")))))</f>
        <v>Catastrófico</v>
      </c>
      <c r="R93" s="452">
        <f t="shared" si="47"/>
        <v>1</v>
      </c>
      <c r="S93" s="454" t="str">
        <f t="shared" si="48"/>
        <v>Extremo</v>
      </c>
      <c r="T93" s="457">
        <v>5</v>
      </c>
      <c r="U93" s="477" t="s">
        <v>494</v>
      </c>
      <c r="V93" s="457" t="str">
        <f t="shared" si="49"/>
        <v>Probabilidad</v>
      </c>
      <c r="W93" s="458" t="s">
        <v>187</v>
      </c>
      <c r="X93" s="458" t="s">
        <v>188</v>
      </c>
      <c r="Y93" s="459" t="str">
        <f t="shared" si="38"/>
        <v>40%</v>
      </c>
      <c r="Z93" s="458" t="s">
        <v>222</v>
      </c>
      <c r="AA93" s="458" t="s">
        <v>190</v>
      </c>
      <c r="AB93" s="458" t="s">
        <v>191</v>
      </c>
      <c r="AC93" s="460">
        <f>IFERROR(IF(AND(V92="Probabilidad",V93="Probabilidad"),(AE92-(+AE92*Y93)),IF(V93="Probabilidad",(N92-(+N92*Y93)),IF(V93="Impacto",AE92,""))),"")</f>
        <v>0.216</v>
      </c>
      <c r="AD93" s="461" t="str">
        <f t="shared" si="39"/>
        <v>Baja</v>
      </c>
      <c r="AE93" s="462">
        <f t="shared" si="40"/>
        <v>0.216</v>
      </c>
      <c r="AF93" s="461" t="str">
        <f t="shared" si="41"/>
        <v>Moderado</v>
      </c>
      <c r="AG93" s="462">
        <f>IFERROR(IF(AND(V92="Impacto",V93="Impacto"),(AG86-(+AG86*Y93)),IF(V93="Impacto",($R$56-(+$R$56*Y93)),IF(V93="Probabilidad",AG86,""))),"")</f>
        <v>0.6</v>
      </c>
      <c r="AH93" s="463" t="str">
        <f t="shared" si="42"/>
        <v>Moderado</v>
      </c>
      <c r="AI93" s="464" t="s">
        <v>192</v>
      </c>
      <c r="AJ93" s="465"/>
      <c r="AK93" s="491" t="s">
        <v>493</v>
      </c>
      <c r="AL93" s="465"/>
      <c r="AM93" s="466"/>
      <c r="AN93" s="468"/>
    </row>
    <row r="94" spans="1:40" ht="409.5" x14ac:dyDescent="0.2">
      <c r="A94" s="469">
        <v>39</v>
      </c>
      <c r="B94" s="469" t="s">
        <v>481</v>
      </c>
      <c r="C94" s="470" t="s">
        <v>482</v>
      </c>
      <c r="D94" s="447" t="str">
        <f>IFERROR(INDEX('Base de datos gestión'!$D$28:$D$50,MATCH(C94,'Base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94" s="447" t="str">
        <f>IFERROR(INDEX('Base de datos gestión'!$E$28:$E$50,MATCH(C94,'Base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94" s="474" t="s">
        <v>234</v>
      </c>
      <c r="G94" s="475" t="s">
        <v>483</v>
      </c>
      <c r="H94" s="474" t="s">
        <v>484</v>
      </c>
      <c r="I94" s="474" t="s">
        <v>485</v>
      </c>
      <c r="J94" s="476" t="s">
        <v>182</v>
      </c>
      <c r="K94" s="476" t="s">
        <v>183</v>
      </c>
      <c r="L94" s="476">
        <v>100</v>
      </c>
      <c r="M94" s="450" t="str">
        <f t="shared" ref="M94:M97" si="53">IF(L94&lt;=0,"",IF(L94&lt;=2,"Muy Baja",IF(L94&lt;=24,"Baja",IF(L94&lt;=500,"Media",IF(L94&lt;=5000,"Alta","Muy Alta")))))</f>
        <v>Media</v>
      </c>
      <c r="N94" s="451">
        <f t="shared" si="51"/>
        <v>0.6</v>
      </c>
      <c r="O94" s="452" t="s">
        <v>339</v>
      </c>
      <c r="P94" s="451" t="str">
        <f>IF(NOT(ISERROR(MATCH(O94,'Tabla Impacto'!$B$222:$B$224,0))),'Tabla Impacto'!$F$224&amp;"Por favor no seleccionar los criterios de impacto(Afectación Económica o presupuestal y Pérdida Reputacional)",O94)</f>
        <v xml:space="preserve">     El riesgo afecta la imagen de la entidad a nivel nacional, con efecto publicitarios sostenible a nivel país</v>
      </c>
      <c r="Q94" s="453" t="str">
        <f>IF(OR(P94='[1]Tabla Impacto'!$C$12,P94='[1]Tabla Impacto'!$D$12),"Leve",IF(OR(P94='[1]Tabla Impacto'!$C$13,P94='[1]Tabla Impacto'!$D$13),"Menor",IF(OR(P94='[1]Tabla Impacto'!$C$14,P94='[1]Tabla Impacto'!$D$14),"Moderado",IF(OR(P94='[1]Tabla Impacto'!$C$15,P94='[1]Tabla Impacto'!$D$15),"Mayor",IF(OR(P94='[1]Tabla Impacto'!$C$16,P94='[1]Tabla Impacto'!$D$16),"Catastrófico","")))))</f>
        <v>Catastrófico</v>
      </c>
      <c r="R94" s="452">
        <f t="shared" si="47"/>
        <v>1</v>
      </c>
      <c r="S94" s="454" t="str">
        <f t="shared" si="48"/>
        <v>Extremo</v>
      </c>
      <c r="T94" s="457">
        <v>6</v>
      </c>
      <c r="U94" s="477" t="s">
        <v>495</v>
      </c>
      <c r="V94" s="457" t="str">
        <f t="shared" si="49"/>
        <v>Probabilidad</v>
      </c>
      <c r="W94" s="458" t="s">
        <v>187</v>
      </c>
      <c r="X94" s="458" t="s">
        <v>188</v>
      </c>
      <c r="Y94" s="459" t="str">
        <f t="shared" si="38"/>
        <v>40%</v>
      </c>
      <c r="Z94" s="458" t="s">
        <v>222</v>
      </c>
      <c r="AA94" s="458" t="s">
        <v>190</v>
      </c>
      <c r="AB94" s="458" t="s">
        <v>191</v>
      </c>
      <c r="AC94" s="460">
        <f>IFERROR(IF(AND(V93="Probabilidad",V94="Probabilidad"),(AE93-(+AE93*Y94)),IF(AND(V93="Impacto",V94="Probabilidad"),(AE92-(+AE92*Y94)),IF(V94="Impacto",AE93,""))),"")</f>
        <v>0.12959999999999999</v>
      </c>
      <c r="AD94" s="461" t="str">
        <f t="shared" si="39"/>
        <v>Muy Baja</v>
      </c>
      <c r="AE94" s="462">
        <f t="shared" si="40"/>
        <v>0.12959999999999999</v>
      </c>
      <c r="AF94" s="461" t="str">
        <f t="shared" si="41"/>
        <v>Moderado</v>
      </c>
      <c r="AG94" s="462">
        <f>IFERROR(IF(AND(V93="Impacto",V94="Impacto"),(AG93-(+AG93*Y94)),IF(AND(V93="Probabilidad",V94="Impacto"),(AG92-(+AG92*Y94)),IF(V94="Probabilidad",AG93,""))),"")</f>
        <v>0.6</v>
      </c>
      <c r="AH94" s="463" t="str">
        <f t="shared" si="42"/>
        <v>Moderado</v>
      </c>
      <c r="AI94" s="464" t="s">
        <v>192</v>
      </c>
      <c r="AJ94" s="465"/>
      <c r="AK94" s="465" t="s">
        <v>496</v>
      </c>
      <c r="AL94" s="465"/>
      <c r="AM94" s="466"/>
      <c r="AN94" s="468"/>
    </row>
    <row r="95" spans="1:40" ht="409.5" x14ac:dyDescent="0.2">
      <c r="A95" s="469">
        <v>40</v>
      </c>
      <c r="B95" s="469" t="s">
        <v>497</v>
      </c>
      <c r="C95" s="470" t="s">
        <v>482</v>
      </c>
      <c r="D95" s="447" t="str">
        <f>IFERROR(INDEX('Base de datos gestión'!$D$28:$D$50,MATCH(C95,'Base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95" s="447" t="str">
        <f>IFERROR(INDEX('Base de datos gestión'!$E$28:$E$50,MATCH(C95,'Base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95" s="474" t="s">
        <v>234</v>
      </c>
      <c r="G95" s="475" t="s">
        <v>498</v>
      </c>
      <c r="H95" s="474" t="s">
        <v>499</v>
      </c>
      <c r="I95" s="474" t="s">
        <v>500</v>
      </c>
      <c r="J95" s="476" t="s">
        <v>182</v>
      </c>
      <c r="K95" s="476" t="s">
        <v>258</v>
      </c>
      <c r="L95" s="476">
        <v>1000</v>
      </c>
      <c r="M95" s="450" t="str">
        <f t="shared" si="53"/>
        <v>Alta</v>
      </c>
      <c r="N95" s="451">
        <f t="shared" si="51"/>
        <v>0.8</v>
      </c>
      <c r="O95" s="452" t="s">
        <v>501</v>
      </c>
      <c r="P95" s="451" t="str">
        <f>IF(NOT(ISERROR(MATCH(O95,'Tabla Impacto'!$B$222:$B$224,0))),'Tabla Impacto'!$F$224&amp;"Por favor no seleccionar los criterios de impacto(Afectación Económica o presupuestal y Pérdida Reputacional)",O95)</f>
        <v>El riesgo afecta la imagen de la entidad a nivel nacional, con efecto publicitarios sostenible a nivel país</v>
      </c>
      <c r="Q95" s="453" t="s">
        <v>342</v>
      </c>
      <c r="R95" s="452">
        <v>1</v>
      </c>
      <c r="S95" s="454" t="s">
        <v>4</v>
      </c>
      <c r="T95" s="457">
        <v>1</v>
      </c>
      <c r="U95" s="477" t="s">
        <v>502</v>
      </c>
      <c r="V95" s="457" t="str">
        <f t="shared" si="49"/>
        <v>Probabilidad</v>
      </c>
      <c r="W95" s="458" t="s">
        <v>228</v>
      </c>
      <c r="X95" s="458" t="s">
        <v>188</v>
      </c>
      <c r="Y95" s="459" t="str">
        <f t="shared" si="38"/>
        <v>30%</v>
      </c>
      <c r="Z95" s="458" t="s">
        <v>222</v>
      </c>
      <c r="AA95" s="458" t="s">
        <v>190</v>
      </c>
      <c r="AB95" s="458" t="s">
        <v>191</v>
      </c>
      <c r="AC95" s="460">
        <f>IFERROR(IF(AND(V94="Probabilidad",V95="Probabilidad"),(AE94-(+AE94*Y95)),IF(AND(V94="Impacto",V95="Probabilidad"),(AE93-(+AE93*Y95)),IF(V95="Impacto",AE94,""))),"")</f>
        <v>9.0719999999999995E-2</v>
      </c>
      <c r="AD95" s="461" t="str">
        <f t="shared" si="39"/>
        <v>Muy Baja</v>
      </c>
      <c r="AE95" s="462">
        <f t="shared" si="40"/>
        <v>9.0719999999999995E-2</v>
      </c>
      <c r="AF95" s="461" t="str">
        <f t="shared" si="41"/>
        <v>Moderado</v>
      </c>
      <c r="AG95" s="462">
        <f>IFERROR(IF(AND(V94="Impacto",V95="Impacto"),(AG94-(+AG94*Y95)),IF(AND(V94="Probabilidad",V95="Impacto"),(AG93-(+AG93*Y95)),IF(V95="Probabilidad",AG94,""))),"")</f>
        <v>0.6</v>
      </c>
      <c r="AH95" s="463" t="str">
        <f t="shared" si="42"/>
        <v>Moderado</v>
      </c>
      <c r="AI95" s="464" t="s">
        <v>192</v>
      </c>
      <c r="AJ95" s="465"/>
      <c r="AK95" s="209"/>
      <c r="AL95" s="465"/>
      <c r="AM95" s="466"/>
      <c r="AN95" s="468"/>
    </row>
    <row r="96" spans="1:40" ht="409.5" x14ac:dyDescent="0.2">
      <c r="A96" s="469">
        <v>40</v>
      </c>
      <c r="B96" s="469" t="s">
        <v>497</v>
      </c>
      <c r="C96" s="470" t="s">
        <v>482</v>
      </c>
      <c r="D96" s="447" t="str">
        <f>IFERROR(INDEX('Base de datos gestión'!$D$28:$D$50,MATCH(C96,'Base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96" s="447" t="str">
        <f>IFERROR(INDEX('Base de datos gestión'!$E$28:$E$50,MATCH(C96,'Base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96" s="474" t="s">
        <v>234</v>
      </c>
      <c r="G96" s="475" t="s">
        <v>498</v>
      </c>
      <c r="H96" s="474" t="s">
        <v>499</v>
      </c>
      <c r="I96" s="474" t="s">
        <v>500</v>
      </c>
      <c r="J96" s="476" t="s">
        <v>182</v>
      </c>
      <c r="K96" s="476" t="s">
        <v>258</v>
      </c>
      <c r="L96" s="476">
        <v>1000</v>
      </c>
      <c r="M96" s="450" t="str">
        <f t="shared" si="53"/>
        <v>Alta</v>
      </c>
      <c r="N96" s="451">
        <f t="shared" si="51"/>
        <v>0.8</v>
      </c>
      <c r="O96" s="452" t="s">
        <v>501</v>
      </c>
      <c r="P96" s="451" t="str">
        <f>IF(NOT(ISERROR(MATCH(O96,'Tabla Impacto'!$B$222:$B$224,0))),'Tabla Impacto'!$F$224&amp;"Por favor no seleccionar los criterios de impacto(Afectación Económica o presupuestal y Pérdida Reputacional)",O96)</f>
        <v>El riesgo afecta la imagen de la entidad a nivel nacional, con efecto publicitarios sostenible a nivel país</v>
      </c>
      <c r="Q96" s="453" t="s">
        <v>342</v>
      </c>
      <c r="R96" s="452">
        <f t="shared" ref="R96:R123" si="54">IF(Q96="","",IF(Q96="Leve",0.2,IF(Q96="Menor",0.4,IF(Q96="Moderado",0.6,IF(Q96="Mayor",0.8,IF(Q96="Catastrófico",1,))))))</f>
        <v>1</v>
      </c>
      <c r="S96" s="454" t="s">
        <v>4</v>
      </c>
      <c r="T96" s="457">
        <v>2</v>
      </c>
      <c r="U96" s="477" t="s">
        <v>503</v>
      </c>
      <c r="V96" s="457" t="str">
        <f t="shared" si="49"/>
        <v>Impacto</v>
      </c>
      <c r="W96" s="458" t="s">
        <v>209</v>
      </c>
      <c r="X96" s="458" t="s">
        <v>188</v>
      </c>
      <c r="Y96" s="459" t="str">
        <f t="shared" si="38"/>
        <v>25%</v>
      </c>
      <c r="Z96" s="458" t="s">
        <v>222</v>
      </c>
      <c r="AA96" s="458" t="s">
        <v>190</v>
      </c>
      <c r="AB96" s="458" t="s">
        <v>191</v>
      </c>
      <c r="AC96" s="460">
        <f>IFERROR(IF(AND(V95="Probabilidad",V96="Probabilidad"),(AE95-(+AE95*Y96)),IF(AND(V95="Impacto",V96="Probabilidad"),(AE94-(+AE94*Y96)),IF(V96="Impacto",AE95,""))),"")</f>
        <v>9.0719999999999995E-2</v>
      </c>
      <c r="AD96" s="461" t="str">
        <f t="shared" si="39"/>
        <v>Muy Baja</v>
      </c>
      <c r="AE96" s="462">
        <f t="shared" si="40"/>
        <v>9.0719999999999995E-2</v>
      </c>
      <c r="AF96" s="461" t="str">
        <f t="shared" si="41"/>
        <v>Moderado</v>
      </c>
      <c r="AG96" s="462">
        <f>IFERROR(IF(AND(V95="Impacto",V96="Impacto"),(AG95-(+AG95*Y96)),IF(AND(V95="Probabilidad",V96="Impacto"),(AG94-(+AG94*Y96)),IF(V96="Probabilidad",AG95,""))),"")</f>
        <v>0.44999999999999996</v>
      </c>
      <c r="AH96" s="463" t="str">
        <f t="shared" si="42"/>
        <v>Moderado</v>
      </c>
      <c r="AI96" s="464" t="s">
        <v>192</v>
      </c>
      <c r="AJ96" s="465"/>
      <c r="AK96" s="209"/>
      <c r="AL96" s="465"/>
      <c r="AM96" s="466"/>
      <c r="AN96" s="468"/>
    </row>
    <row r="97" spans="1:40" ht="409.5" x14ac:dyDescent="0.2">
      <c r="A97" s="478">
        <v>41</v>
      </c>
      <c r="B97" s="478" t="s">
        <v>504</v>
      </c>
      <c r="C97" s="479" t="s">
        <v>482</v>
      </c>
      <c r="D97" s="447" t="str">
        <f>IFERROR(INDEX('Base de datos gestión'!$D$28:$D$50,MATCH(C97,'Base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97" s="447" t="str">
        <f>IFERROR(INDEX('Base de datos gestión'!$E$28:$E$50,MATCH(C97,'Base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97" s="474" t="s">
        <v>234</v>
      </c>
      <c r="G97" s="475" t="s">
        <v>505</v>
      </c>
      <c r="H97" s="474" t="s">
        <v>506</v>
      </c>
      <c r="I97" s="474" t="s">
        <v>507</v>
      </c>
      <c r="J97" s="476" t="s">
        <v>408</v>
      </c>
      <c r="K97" s="476" t="s">
        <v>258</v>
      </c>
      <c r="L97" s="476">
        <v>5000</v>
      </c>
      <c r="M97" s="450" t="str">
        <f t="shared" si="53"/>
        <v>Alta</v>
      </c>
      <c r="N97" s="451">
        <f t="shared" si="51"/>
        <v>0.8</v>
      </c>
      <c r="O97" s="452" t="s">
        <v>339</v>
      </c>
      <c r="P97" s="451" t="str">
        <f>IF(NOT(ISERROR(MATCH(O97,'Tabla Impacto'!$B$222:$B$224,0))),'Tabla Impacto'!$F$224&amp;"Por favor no seleccionar los criterios de impacto(Afectación Económica o presupuestal y Pérdida Reputacional)",O97)</f>
        <v xml:space="preserve">     El riesgo afecta la imagen de la entidad a nivel nacional, con efecto publicitarios sostenible a nivel país</v>
      </c>
      <c r="Q97" s="453" t="str">
        <f>IF(OR(P97='[1]Tabla Impacto'!$C$12,P97='[1]Tabla Impacto'!$D$12),"Leve",IF(OR(P97='[1]Tabla Impacto'!$C$13,P97='[1]Tabla Impacto'!$D$13),"Menor",IF(OR(P97='[1]Tabla Impacto'!$C$14,P97='[1]Tabla Impacto'!$D$14),"Moderado",IF(OR(P97='[1]Tabla Impacto'!$C$15,P97='[1]Tabla Impacto'!$D$15),"Mayor",IF(OR(P97='[1]Tabla Impacto'!$C$16,P97='[1]Tabla Impacto'!$D$16),"Catastrófico","")))))</f>
        <v>Catastrófico</v>
      </c>
      <c r="R97" s="452">
        <f t="shared" si="54"/>
        <v>1</v>
      </c>
      <c r="S97" s="454" t="str">
        <f t="shared" ref="S97:S123" si="55">IF(OR(AND(M97="Muy Baja",Q97="Leve"),AND(M97="Muy Baja",Q97="Menor"),AND(M97="Baja",Q97="Leve")),"Bajo",IF(OR(AND(M97="Muy baja",Q97="Moderado"),AND(M97="Baja",Q97="Menor"),AND(M97="Baja",Q97="Moderado"),AND(M97="Media",Q97="Leve"),AND(M97="Media",Q97="Menor"),AND(M97="Media",Q97="Moderado"),AND(M97="Alta",Q97="Leve"),AND(M97="Alta",Q97="Menor")),"Moderado",IF(OR(AND(M97="Muy Baja",Q97="Mayor"),AND(M97="Baja",Q97="Mayor"),AND(M97="Media",Q97="Mayor"),AND(M97="Alta",Q97="Moderado"),AND(M97="Alta",Q97="Mayor"),AND(M97="Muy Alta",Q97="Leve"),AND(M97="Muy Alta",Q97="Menor"),AND(M97="Muy Alta",Q97="Moderado"),AND(M97="Muy Alta",Q97="Mayor")),"Alto",IF(OR(AND(M97="Muy Baja",Q97="Catastrófico"),AND(M97="Baja",Q97="Catastrófico"),AND(M97="Media",Q97="Catastrófico"),AND(M97="Alta",Q97="Catastrófico"),AND(M97="Muy Alta",Q97="Catastrófico")),"Extremo",""))))</f>
        <v>Extremo</v>
      </c>
      <c r="T97" s="457">
        <v>1</v>
      </c>
      <c r="U97" s="477" t="s">
        <v>508</v>
      </c>
      <c r="V97" s="457" t="str">
        <f t="shared" si="49"/>
        <v>Impacto</v>
      </c>
      <c r="W97" s="458" t="s">
        <v>209</v>
      </c>
      <c r="X97" s="458" t="s">
        <v>188</v>
      </c>
      <c r="Y97" s="459" t="str">
        <f t="shared" si="38"/>
        <v>25%</v>
      </c>
      <c r="Z97" s="458" t="s">
        <v>222</v>
      </c>
      <c r="AA97" s="458" t="s">
        <v>190</v>
      </c>
      <c r="AB97" s="458" t="s">
        <v>191</v>
      </c>
      <c r="AC97" s="460">
        <f>IFERROR(IF(AND(V96="Probabilidad",V97="Probabilidad"),(AE96-(+AE96*Y97)),IF(AND(V96="Impacto",V97="Probabilidad"),(AE95-(+AE95*Y97)),IF(V97="Impacto",AE96,""))),"")</f>
        <v>9.0719999999999995E-2</v>
      </c>
      <c r="AD97" s="461" t="str">
        <f t="shared" si="39"/>
        <v>Muy Baja</v>
      </c>
      <c r="AE97" s="462">
        <f t="shared" si="40"/>
        <v>9.0719999999999995E-2</v>
      </c>
      <c r="AF97" s="461" t="str">
        <f t="shared" si="41"/>
        <v>Menor</v>
      </c>
      <c r="AG97" s="462">
        <f>IFERROR(IF(AND(V96="Impacto",V97="Impacto"),(AG96-(+AG96*Y97)),IF(AND(V96="Probabilidad",V97="Impacto"),(AG95-(+AG95*Y97)),IF(V97="Probabilidad",AG96,""))),"")</f>
        <v>0.33749999999999997</v>
      </c>
      <c r="AH97" s="463" t="str">
        <f t="shared" si="42"/>
        <v>Bajo</v>
      </c>
      <c r="AI97" s="464" t="s">
        <v>192</v>
      </c>
      <c r="AJ97" s="465"/>
      <c r="AK97" s="209"/>
      <c r="AL97" s="465"/>
      <c r="AM97" s="466"/>
      <c r="AN97" s="468"/>
    </row>
    <row r="98" spans="1:40" ht="409.5" x14ac:dyDescent="0.2">
      <c r="A98" s="446">
        <v>41</v>
      </c>
      <c r="B98" s="446" t="s">
        <v>504</v>
      </c>
      <c r="C98" s="447" t="s">
        <v>482</v>
      </c>
      <c r="D98" s="447" t="str">
        <f>IFERROR(INDEX('Base de datos gestión'!$D$28:$D$50,MATCH(C98,'Base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98" s="447" t="str">
        <f>IFERROR(INDEX('Base de datos gestión'!$E$28:$E$50,MATCH(C98,'Base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98" s="474" t="s">
        <v>234</v>
      </c>
      <c r="G98" s="475" t="s">
        <v>505</v>
      </c>
      <c r="H98" s="474" t="s">
        <v>506</v>
      </c>
      <c r="I98" s="474" t="s">
        <v>507</v>
      </c>
      <c r="J98" s="476" t="s">
        <v>408</v>
      </c>
      <c r="K98" s="476" t="s">
        <v>258</v>
      </c>
      <c r="L98" s="476">
        <v>5000</v>
      </c>
      <c r="M98" s="450" t="str">
        <f>IF(L98&lt;=0,"",IF(L98&lt;=2,"Muy Baja",IF(L98&lt;=24,"Baja",IF(L98&lt;=500,"Media",IF(L98&lt;=5000,"Alta","Muy Alta")))))</f>
        <v>Alta</v>
      </c>
      <c r="N98" s="451">
        <f t="shared" si="51"/>
        <v>0.8</v>
      </c>
      <c r="O98" s="452" t="s">
        <v>339</v>
      </c>
      <c r="P98" s="451" t="str">
        <f>IF(NOT(ISERROR(MATCH(O98,'Tabla Impacto'!$B$222:$B$224,0))),'Tabla Impacto'!$F$224&amp;"Por favor no seleccionar los criterios de impacto(Afectación Económica o presupuestal y Pérdida Reputacional)",O98)</f>
        <v xml:space="preserve">     El riesgo afecta la imagen de la entidad a nivel nacional, con efecto publicitarios sostenible a nivel país</v>
      </c>
      <c r="Q98" s="453" t="str">
        <f>IF(OR(P98='[1]Tabla Impacto'!$C$12,P98='[1]Tabla Impacto'!$D$12),"Leve",IF(OR(P98='[1]Tabla Impacto'!$C$13,P98='[1]Tabla Impacto'!$D$13),"Menor",IF(OR(P98='[1]Tabla Impacto'!$C$14,P98='[1]Tabla Impacto'!$D$14),"Moderado",IF(OR(P98='[1]Tabla Impacto'!$C$15,P98='[1]Tabla Impacto'!$D$15),"Mayor",IF(OR(P98='[1]Tabla Impacto'!$C$16,P98='[1]Tabla Impacto'!$D$16),"Catastrófico","")))))</f>
        <v>Catastrófico</v>
      </c>
      <c r="R98" s="452">
        <f t="shared" si="54"/>
        <v>1</v>
      </c>
      <c r="S98" s="454" t="str">
        <f t="shared" si="55"/>
        <v>Extremo</v>
      </c>
      <c r="T98" s="457">
        <v>2</v>
      </c>
      <c r="U98" s="477" t="s">
        <v>509</v>
      </c>
      <c r="V98" s="457" t="str">
        <f t="shared" si="49"/>
        <v>Probabilidad</v>
      </c>
      <c r="W98" s="458" t="s">
        <v>228</v>
      </c>
      <c r="X98" s="458" t="s">
        <v>188</v>
      </c>
      <c r="Y98" s="459" t="str">
        <f t="shared" si="38"/>
        <v>30%</v>
      </c>
      <c r="Z98" s="458" t="s">
        <v>222</v>
      </c>
      <c r="AA98" s="458" t="s">
        <v>190</v>
      </c>
      <c r="AB98" s="458" t="s">
        <v>191</v>
      </c>
      <c r="AC98" s="460">
        <f>IFERROR(IF(V98="Probabilidad",(N98-(+N98*Y98)),IF(V98="Impacto",N98,"")),"")</f>
        <v>0.56000000000000005</v>
      </c>
      <c r="AD98" s="461" t="str">
        <f t="shared" si="39"/>
        <v>Media</v>
      </c>
      <c r="AE98" s="462">
        <f t="shared" si="40"/>
        <v>0.56000000000000005</v>
      </c>
      <c r="AF98" s="461" t="str">
        <f t="shared" si="41"/>
        <v>Catastrófico</v>
      </c>
      <c r="AG98" s="462">
        <f>IFERROR(IF(V98="Impacto",(R98-(+R98*Y98)),IF(V98="Probabilidad",R98,"")),"")</f>
        <v>1</v>
      </c>
      <c r="AH98" s="463" t="str">
        <f t="shared" si="42"/>
        <v>Extremo</v>
      </c>
      <c r="AI98" s="464" t="s">
        <v>192</v>
      </c>
      <c r="AJ98" s="465"/>
      <c r="AK98" s="209"/>
      <c r="AL98" s="465"/>
      <c r="AM98" s="466"/>
      <c r="AN98" s="468"/>
    </row>
    <row r="99" spans="1:40" ht="409.5" x14ac:dyDescent="0.2">
      <c r="A99" s="469">
        <v>41</v>
      </c>
      <c r="B99" s="469" t="s">
        <v>504</v>
      </c>
      <c r="C99" s="470" t="s">
        <v>482</v>
      </c>
      <c r="D99" s="447" t="str">
        <f>IFERROR(INDEX('Base de datos gestión'!$D$28:$D$50,MATCH(C99,'Base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99" s="447" t="str">
        <f>IFERROR(INDEX('Base de datos gestión'!$E$28:$E$50,MATCH(C99,'Base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99" s="474" t="s">
        <v>234</v>
      </c>
      <c r="G99" s="475" t="s">
        <v>505</v>
      </c>
      <c r="H99" s="474" t="s">
        <v>506</v>
      </c>
      <c r="I99" s="474" t="s">
        <v>507</v>
      </c>
      <c r="J99" s="476" t="s">
        <v>408</v>
      </c>
      <c r="K99" s="476" t="s">
        <v>258</v>
      </c>
      <c r="L99" s="476">
        <v>5000</v>
      </c>
      <c r="M99" s="450" t="str">
        <f>IF(L99&lt;=0,"",IF(L99&lt;=2,"Muy Baja",IF(L99&lt;=24,"Baja",IF(L99&lt;=500,"Media",IF(L99&lt;=5000,"Alta","Muy Alta")))))</f>
        <v>Alta</v>
      </c>
      <c r="N99" s="451">
        <f t="shared" si="51"/>
        <v>0.8</v>
      </c>
      <c r="O99" s="452" t="s">
        <v>339</v>
      </c>
      <c r="P99" s="451" t="str">
        <f>IF(NOT(ISERROR(MATCH(O99,'Tabla Impacto'!$B$222:$B$224,0))),'Tabla Impacto'!$F$224&amp;"Por favor no seleccionar los criterios de impacto(Afectación Económica o presupuestal y Pérdida Reputacional)",O99)</f>
        <v xml:space="preserve">     El riesgo afecta la imagen de la entidad a nivel nacional, con efecto publicitarios sostenible a nivel país</v>
      </c>
      <c r="Q99" s="453" t="str">
        <f>IF(OR(P99='[1]Tabla Impacto'!$C$12,P99='[1]Tabla Impacto'!$D$12),"Leve",IF(OR(P99='[1]Tabla Impacto'!$C$13,P99='[1]Tabla Impacto'!$D$13),"Menor",IF(OR(P99='[1]Tabla Impacto'!$C$14,P99='[1]Tabla Impacto'!$D$14),"Moderado",IF(OR(P99='[1]Tabla Impacto'!$C$15,P99='[1]Tabla Impacto'!$D$15),"Mayor",IF(OR(P99='[1]Tabla Impacto'!$C$16,P99='[1]Tabla Impacto'!$D$16),"Catastrófico","")))))</f>
        <v>Catastrófico</v>
      </c>
      <c r="R99" s="452">
        <f t="shared" si="54"/>
        <v>1</v>
      </c>
      <c r="S99" s="454" t="str">
        <f t="shared" si="55"/>
        <v>Extremo</v>
      </c>
      <c r="T99" s="457">
        <v>3</v>
      </c>
      <c r="U99" s="477" t="s">
        <v>510</v>
      </c>
      <c r="V99" s="457" t="str">
        <f t="shared" si="49"/>
        <v>Probabilidad</v>
      </c>
      <c r="W99" s="458" t="s">
        <v>187</v>
      </c>
      <c r="X99" s="458" t="s">
        <v>188</v>
      </c>
      <c r="Y99" s="459" t="str">
        <f t="shared" si="38"/>
        <v>40%</v>
      </c>
      <c r="Z99" s="458" t="s">
        <v>189</v>
      </c>
      <c r="AA99" s="458" t="s">
        <v>190</v>
      </c>
      <c r="AB99" s="458" t="s">
        <v>216</v>
      </c>
      <c r="AC99" s="460">
        <f>IFERROR(IF(AND(V98="Probabilidad",V99="Probabilidad"),(AE98-(+AE98*Y99)),IF(V99="Probabilidad",(N98-(+N98*Y99)),IF(V99="Impacto",AE98,""))),"")</f>
        <v>0.33600000000000002</v>
      </c>
      <c r="AD99" s="461" t="str">
        <f t="shared" si="39"/>
        <v>Baja</v>
      </c>
      <c r="AE99" s="462">
        <f t="shared" si="40"/>
        <v>0.33600000000000002</v>
      </c>
      <c r="AF99" s="461" t="str">
        <f t="shared" si="41"/>
        <v>Catastrófico</v>
      </c>
      <c r="AG99" s="462">
        <f>IFERROR(IF(AND(V98="Impacto",V99="Impacto"),(AG92-(+AG92*Y99)),IF(V99="Impacto",($R$50-(+$R$50*Y99)),IF(V99="Probabilidad",AG92,""))),"")</f>
        <v>1</v>
      </c>
      <c r="AH99" s="463" t="str">
        <f t="shared" si="42"/>
        <v>Extremo</v>
      </c>
      <c r="AI99" s="464" t="s">
        <v>511</v>
      </c>
      <c r="AJ99" s="465"/>
      <c r="AK99" s="209"/>
      <c r="AL99" s="465"/>
      <c r="AM99" s="466"/>
      <c r="AN99" s="468"/>
    </row>
    <row r="100" spans="1:40" ht="409.5" x14ac:dyDescent="0.2">
      <c r="A100" s="469">
        <v>41</v>
      </c>
      <c r="B100" s="469" t="s">
        <v>504</v>
      </c>
      <c r="C100" s="470" t="s">
        <v>482</v>
      </c>
      <c r="D100" s="447" t="str">
        <f>IFERROR(INDEX('Base de datos gestión'!$D$28:$D$50,MATCH(C100,'Base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100" s="447" t="str">
        <f>IFERROR(INDEX('Base de datos gestión'!$E$28:$E$50,MATCH(C100,'Base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100" s="474" t="s">
        <v>234</v>
      </c>
      <c r="G100" s="475" t="s">
        <v>505</v>
      </c>
      <c r="H100" s="474" t="s">
        <v>506</v>
      </c>
      <c r="I100" s="474" t="s">
        <v>507</v>
      </c>
      <c r="J100" s="476" t="s">
        <v>408</v>
      </c>
      <c r="K100" s="476" t="s">
        <v>258</v>
      </c>
      <c r="L100" s="476">
        <v>5000</v>
      </c>
      <c r="M100" s="450" t="str">
        <f t="shared" ref="M100:M163" si="56">IF(L100&lt;=0,"",IF(L100&lt;=2,"Muy Baja",IF(L100&lt;=24,"Baja",IF(L100&lt;=500,"Media",IF(L100&lt;=5000,"Alta","Muy Alta")))))</f>
        <v>Alta</v>
      </c>
      <c r="N100" s="451">
        <f t="shared" si="51"/>
        <v>0.8</v>
      </c>
      <c r="O100" s="452" t="s">
        <v>339</v>
      </c>
      <c r="P100" s="451" t="str">
        <f>IF(NOT(ISERROR(MATCH(O100,'Tabla Impacto'!$B$222:$B$224,0))),'Tabla Impacto'!$F$224&amp;"Por favor no seleccionar los criterios de impacto(Afectación Económica o presupuestal y Pérdida Reputacional)",O100)</f>
        <v xml:space="preserve">     El riesgo afecta la imagen de la entidad a nivel nacional, con efecto publicitarios sostenible a nivel país</v>
      </c>
      <c r="Q100" s="453" t="str">
        <f>IF(OR(P100='[1]Tabla Impacto'!$C$12,P100='[1]Tabla Impacto'!$D$12),"Leve",IF(OR(P100='[1]Tabla Impacto'!$C$13,P100='[1]Tabla Impacto'!$D$13),"Menor",IF(OR(P100='[1]Tabla Impacto'!$C$14,P100='[1]Tabla Impacto'!$D$14),"Moderado",IF(OR(P100='[1]Tabla Impacto'!$C$15,P100='[1]Tabla Impacto'!$D$15),"Mayor",IF(OR(P100='[1]Tabla Impacto'!$C$16,P100='[1]Tabla Impacto'!$D$16),"Catastrófico","")))))</f>
        <v>Catastrófico</v>
      </c>
      <c r="R100" s="452">
        <f t="shared" si="54"/>
        <v>1</v>
      </c>
      <c r="S100" s="454" t="str">
        <f t="shared" si="55"/>
        <v>Extremo</v>
      </c>
      <c r="T100" s="457">
        <v>4</v>
      </c>
      <c r="U100" s="477" t="s">
        <v>512</v>
      </c>
      <c r="V100" s="457" t="str">
        <f t="shared" si="49"/>
        <v>Probabilidad</v>
      </c>
      <c r="W100" s="458" t="s">
        <v>187</v>
      </c>
      <c r="X100" s="458" t="s">
        <v>188</v>
      </c>
      <c r="Y100" s="459" t="str">
        <f t="shared" si="38"/>
        <v>40%</v>
      </c>
      <c r="Z100" s="458" t="s">
        <v>189</v>
      </c>
      <c r="AA100" s="458" t="s">
        <v>190</v>
      </c>
      <c r="AB100" s="458" t="s">
        <v>216</v>
      </c>
      <c r="AC100" s="460">
        <f>IFERROR(IF(AND(V99="Probabilidad",V100="Probabilidad"),(AE99-(+AE99*Y100)),IF(AND(V99="Impacto",V100="Probabilidad"),(AE98-(+AE98*Y100)),IF(V100="Impacto",AE99,""))),"")</f>
        <v>0.2016</v>
      </c>
      <c r="AD100" s="461" t="str">
        <f t="shared" si="39"/>
        <v>Baja</v>
      </c>
      <c r="AE100" s="462">
        <f t="shared" si="40"/>
        <v>0.2016</v>
      </c>
      <c r="AF100" s="461" t="str">
        <f t="shared" si="41"/>
        <v>Catastrófico</v>
      </c>
      <c r="AG100" s="462">
        <f>IFERROR(IF(AND(V99="Impacto",V100="Impacto"),(AG99-(+AG99*Y100)),IF(AND(V99="Probabilidad",V100="Impacto"),(AG98-(+AG98*Y100)),IF(V100="Probabilidad",AG99,""))),"")</f>
        <v>1</v>
      </c>
      <c r="AH100" s="463" t="str">
        <f t="shared" si="42"/>
        <v>Extremo</v>
      </c>
      <c r="AI100" s="464" t="s">
        <v>192</v>
      </c>
      <c r="AJ100" s="465"/>
      <c r="AK100" s="209"/>
      <c r="AL100" s="465"/>
      <c r="AM100" s="466"/>
      <c r="AN100" s="468"/>
    </row>
    <row r="101" spans="1:40" ht="409.5" x14ac:dyDescent="0.2">
      <c r="A101" s="469">
        <v>42</v>
      </c>
      <c r="B101" s="469" t="s">
        <v>513</v>
      </c>
      <c r="C101" s="470" t="s">
        <v>482</v>
      </c>
      <c r="D101" s="447" t="str">
        <f>IFERROR(INDEX('Base de datos gestión'!$D$28:$D$50,MATCH(C101,'Base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101" s="447" t="str">
        <f>IFERROR(INDEX('Base de datos gestión'!$E$28:$E$50,MATCH(C101,'Base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101" s="474" t="s">
        <v>178</v>
      </c>
      <c r="G101" s="475" t="s">
        <v>514</v>
      </c>
      <c r="H101" s="474" t="s">
        <v>515</v>
      </c>
      <c r="I101" s="474" t="s">
        <v>516</v>
      </c>
      <c r="J101" s="476" t="s">
        <v>517</v>
      </c>
      <c r="K101" s="476" t="s">
        <v>258</v>
      </c>
      <c r="L101" s="476">
        <v>32</v>
      </c>
      <c r="M101" s="450" t="str">
        <f t="shared" si="56"/>
        <v>Media</v>
      </c>
      <c r="N101" s="451">
        <f t="shared" si="51"/>
        <v>0.6</v>
      </c>
      <c r="O101" s="452" t="s">
        <v>214</v>
      </c>
      <c r="P101" s="451" t="str">
        <f>IF(NOT(ISERROR(MATCH(O101,'Tabla Impacto'!$B$222:$B$224,0))),'Tabla Impacto'!$F$224&amp;"Por favor no seleccionar los criterios de impacto(Afectación Económica o presupuestal y Pérdida Reputacional)",O101)</f>
        <v xml:space="preserve">     El riesgo afecta la imagen de la entidad con algunos usuarios de relevancia frente al logro de los objetivos</v>
      </c>
      <c r="Q101" s="453" t="str">
        <f>IF(OR(P101='[1]Tabla Impacto'!$C$12,P101='[1]Tabla Impacto'!$D$12),"Leve",IF(OR(P101='[1]Tabla Impacto'!$C$13,P101='[1]Tabla Impacto'!$D$13),"Menor",IF(OR(P101='[1]Tabla Impacto'!$C$14,P101='[1]Tabla Impacto'!$D$14),"Moderado",IF(OR(P101='[1]Tabla Impacto'!$C$15,P101='[1]Tabla Impacto'!$D$15),"Mayor",IF(OR(P101='[1]Tabla Impacto'!$C$16,P101='[1]Tabla Impacto'!$D$16),"Catastrófico","")))))</f>
        <v>Moderado</v>
      </c>
      <c r="R101" s="452">
        <f t="shared" si="54"/>
        <v>0.6</v>
      </c>
      <c r="S101" s="454" t="str">
        <f t="shared" si="55"/>
        <v>Moderado</v>
      </c>
      <c r="T101" s="457">
        <v>1</v>
      </c>
      <c r="U101" s="477" t="s">
        <v>518</v>
      </c>
      <c r="V101" s="457" t="str">
        <f t="shared" si="49"/>
        <v>Probabilidad</v>
      </c>
      <c r="W101" s="458" t="s">
        <v>187</v>
      </c>
      <c r="X101" s="458" t="s">
        <v>188</v>
      </c>
      <c r="Y101" s="459" t="str">
        <f t="shared" si="38"/>
        <v>40%</v>
      </c>
      <c r="Z101" s="458" t="s">
        <v>189</v>
      </c>
      <c r="AA101" s="458" t="s">
        <v>190</v>
      </c>
      <c r="AB101" s="458" t="s">
        <v>191</v>
      </c>
      <c r="AC101" s="460">
        <f>IFERROR(IF(AND(V100="Probabilidad",V101="Probabilidad"),(AE100-(+AE100*Y101)),IF(AND(V100="Impacto",V101="Probabilidad"),(AE99-(+AE99*Y101)),IF(V101="Impacto",AE100,""))),"")</f>
        <v>0.12096</v>
      </c>
      <c r="AD101" s="461" t="str">
        <f t="shared" si="39"/>
        <v>Muy Baja</v>
      </c>
      <c r="AE101" s="462">
        <f t="shared" si="40"/>
        <v>0.12096</v>
      </c>
      <c r="AF101" s="461" t="str">
        <f t="shared" si="41"/>
        <v>Catastrófico</v>
      </c>
      <c r="AG101" s="462">
        <f>IFERROR(IF(AND(V100="Impacto",V101="Impacto"),(AG100-(+AG100*Y101)),IF(AND(V100="Probabilidad",V101="Impacto"),(AG99-(+AG99*Y101)),IF(V101="Probabilidad",AG100,""))),"")</f>
        <v>1</v>
      </c>
      <c r="AH101" s="463" t="str">
        <f t="shared" si="42"/>
        <v>Extremo</v>
      </c>
      <c r="AI101" s="464" t="s">
        <v>192</v>
      </c>
      <c r="AJ101" s="465"/>
      <c r="AK101" s="209"/>
      <c r="AL101" s="465"/>
      <c r="AM101" s="466"/>
      <c r="AN101" s="468"/>
    </row>
    <row r="102" spans="1:40" ht="409.5" x14ac:dyDescent="0.2">
      <c r="A102" s="469">
        <v>42</v>
      </c>
      <c r="B102" s="469" t="s">
        <v>513</v>
      </c>
      <c r="C102" s="470" t="s">
        <v>482</v>
      </c>
      <c r="D102" s="447" t="str">
        <f>IFERROR(INDEX('Base de datos gestión'!$D$28:$D$50,MATCH(C102,'Base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102" s="447" t="str">
        <f>IFERROR(INDEX('Base de datos gestión'!$E$28:$E$50,MATCH(C102,'Base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102" s="474" t="s">
        <v>178</v>
      </c>
      <c r="G102" s="475" t="s">
        <v>514</v>
      </c>
      <c r="H102" s="474" t="s">
        <v>515</v>
      </c>
      <c r="I102" s="474" t="s">
        <v>516</v>
      </c>
      <c r="J102" s="476" t="s">
        <v>517</v>
      </c>
      <c r="K102" s="476" t="s">
        <v>258</v>
      </c>
      <c r="L102" s="476">
        <v>32</v>
      </c>
      <c r="M102" s="450" t="str">
        <f t="shared" si="56"/>
        <v>Media</v>
      </c>
      <c r="N102" s="451">
        <f t="shared" si="51"/>
        <v>0.6</v>
      </c>
      <c r="O102" s="452" t="s">
        <v>214</v>
      </c>
      <c r="P102" s="451" t="str">
        <f>IF(NOT(ISERROR(MATCH(O102,'Tabla Impacto'!$B$222:$B$224,0))),'Tabla Impacto'!$F$224&amp;"Por favor no seleccionar los criterios de impacto(Afectación Económica o presupuestal y Pérdida Reputacional)",O102)</f>
        <v xml:space="preserve">     El riesgo afecta la imagen de la entidad con algunos usuarios de relevancia frente al logro de los objetivos</v>
      </c>
      <c r="Q102" s="453" t="str">
        <f>IF(OR(P102='[1]Tabla Impacto'!$C$12,P102='[1]Tabla Impacto'!$D$12),"Leve",IF(OR(P102='[1]Tabla Impacto'!$C$13,P102='[1]Tabla Impacto'!$D$13),"Menor",IF(OR(P102='[1]Tabla Impacto'!$C$14,P102='[1]Tabla Impacto'!$D$14),"Moderado",IF(OR(P102='[1]Tabla Impacto'!$C$15,P102='[1]Tabla Impacto'!$D$15),"Mayor",IF(OR(P102='[1]Tabla Impacto'!$C$16,P102='[1]Tabla Impacto'!$D$16),"Catastrófico","")))))</f>
        <v>Moderado</v>
      </c>
      <c r="R102" s="452">
        <f t="shared" si="54"/>
        <v>0.6</v>
      </c>
      <c r="S102" s="454" t="str">
        <f t="shared" si="55"/>
        <v>Moderado</v>
      </c>
      <c r="T102" s="457">
        <v>2</v>
      </c>
      <c r="U102" s="477" t="s">
        <v>519</v>
      </c>
      <c r="V102" s="457" t="str">
        <f t="shared" si="49"/>
        <v>Probabilidad</v>
      </c>
      <c r="W102" s="458" t="s">
        <v>187</v>
      </c>
      <c r="X102" s="458" t="s">
        <v>188</v>
      </c>
      <c r="Y102" s="459" t="str">
        <f t="shared" si="38"/>
        <v>40%</v>
      </c>
      <c r="Z102" s="458" t="s">
        <v>189</v>
      </c>
      <c r="AA102" s="458" t="s">
        <v>190</v>
      </c>
      <c r="AB102" s="458" t="s">
        <v>216</v>
      </c>
      <c r="AC102" s="460">
        <f>IFERROR(IF(AND(V101="Probabilidad",V102="Probabilidad"),(AE101-(+AE101*Y102)),IF(AND(V101="Impacto",V102="Probabilidad"),(AE100-(+AE100*Y102)),IF(V102="Impacto",AE101,""))),"")</f>
        <v>7.2576000000000002E-2</v>
      </c>
      <c r="AD102" s="461" t="str">
        <f t="shared" si="39"/>
        <v>Muy Baja</v>
      </c>
      <c r="AE102" s="462">
        <f t="shared" si="40"/>
        <v>7.2576000000000002E-2</v>
      </c>
      <c r="AF102" s="461" t="str">
        <f t="shared" si="41"/>
        <v>Catastrófico</v>
      </c>
      <c r="AG102" s="462">
        <f>IFERROR(IF(AND(V101="Impacto",V102="Impacto"),(AG101-(+AG101*Y102)),IF(AND(V101="Probabilidad",V102="Impacto"),(AG100-(+AG100*Y102)),IF(V102="Probabilidad",AG101,""))),"")</f>
        <v>1</v>
      </c>
      <c r="AH102" s="463" t="str">
        <f t="shared" si="42"/>
        <v>Extremo</v>
      </c>
      <c r="AI102" s="464" t="s">
        <v>192</v>
      </c>
      <c r="AJ102" s="477"/>
      <c r="AK102" s="209"/>
      <c r="AL102" s="477"/>
      <c r="AM102" s="467"/>
      <c r="AN102" s="468"/>
    </row>
    <row r="103" spans="1:40" ht="409.5" x14ac:dyDescent="0.2">
      <c r="A103" s="478">
        <v>43</v>
      </c>
      <c r="B103" s="478" t="s">
        <v>520</v>
      </c>
      <c r="C103" s="479" t="s">
        <v>521</v>
      </c>
      <c r="D103" s="447" t="str">
        <f>IFERROR(INDEX('Base de datos gestión'!$D$28:$D$50,MATCH(C103,'Base de datos gestión'!$C$28:$C$50,0)), 0)</f>
        <v>Asesorar y prestar servicios de asistencia técnica en materia de metrología científica o industrial y realizar estudios técnicos que permitan identificar las necesidades y capacidades metrológicas de productores y laboratorios del país, con el fin de fortalecer la competitividad y productividad de los procesos productivos o de medición de los usuarios.
El proceso se relaciona con el objetivo estratégico: Brindar herramientas que faciliten la diseminación de la trazabilidad y del conocimiento en metrología, para contribuir al aseguramiento de la calidad de los bienes y servicios que se desarrollan y comercializan en el país.</v>
      </c>
      <c r="E103" s="447" t="str">
        <f>IFERROR(INDEX('Base de datos gestión'!$E$28:$E$50,MATCH(C103,'Base de datos gestión'!$C$28:$C$50,0)), 0)</f>
        <v>Este proceso incluye la identificación de necesidades y capacidades metrológicas y las modalidades del servicio de asistencia técnica que se ajusta a la solicitud del usuario (asesoría, formación y evaluación de capacidades). Inicia con Planificar la prestación de servicio de asistencia técnica y finaliza con realizar la entrega final de los productos pactados con el cliente e identificar la percepción del cliente frente al servicio prestado.</v>
      </c>
      <c r="F103" s="476" t="s">
        <v>234</v>
      </c>
      <c r="G103" s="475" t="s">
        <v>522</v>
      </c>
      <c r="H103" s="476" t="s">
        <v>523</v>
      </c>
      <c r="I103" s="476" t="s">
        <v>524</v>
      </c>
      <c r="J103" s="476" t="s">
        <v>182</v>
      </c>
      <c r="K103" s="476" t="s">
        <v>258</v>
      </c>
      <c r="L103" s="476">
        <v>10</v>
      </c>
      <c r="M103" s="450" t="str">
        <f t="shared" si="56"/>
        <v>Baja</v>
      </c>
      <c r="N103" s="451">
        <f t="shared" si="51"/>
        <v>0.4</v>
      </c>
      <c r="O103" s="452" t="s">
        <v>214</v>
      </c>
      <c r="P103" s="451" t="str">
        <f>IF(NOT(ISERROR(MATCH(O103,'Tabla Impacto'!$B$222:$B$224,0))),'Tabla Impacto'!$F$224&amp;"Por favor no seleccionar los criterios de impacto(Afectación Económica o presupuestal y Pérdida Reputacional)",O103)</f>
        <v xml:space="preserve">     El riesgo afecta la imagen de la entidad con algunos usuarios de relevancia frente al logro de los objetivos</v>
      </c>
      <c r="Q103" s="453" t="str">
        <f>IF(OR(P103='[1]Tabla Impacto'!$C$12,P103='[1]Tabla Impacto'!$D$12),"Leve",IF(OR(P103='[1]Tabla Impacto'!$C$13,P103='[1]Tabla Impacto'!$D$13),"Menor",IF(OR(P103='[1]Tabla Impacto'!$C$14,P103='[1]Tabla Impacto'!$D$14),"Moderado",IF(OR(P103='[1]Tabla Impacto'!$C$15,P103='[1]Tabla Impacto'!$D$15),"Mayor",IF(OR(P103='[1]Tabla Impacto'!$C$16,P103='[1]Tabla Impacto'!$D$16),"Catastrófico","")))))</f>
        <v>Moderado</v>
      </c>
      <c r="R103" s="452">
        <f t="shared" si="54"/>
        <v>0.6</v>
      </c>
      <c r="S103" s="454" t="str">
        <f t="shared" si="55"/>
        <v>Moderado</v>
      </c>
      <c r="T103" s="457">
        <v>1</v>
      </c>
      <c r="U103" s="477" t="s">
        <v>525</v>
      </c>
      <c r="V103" s="457" t="str">
        <f t="shared" si="49"/>
        <v>Probabilidad</v>
      </c>
      <c r="W103" s="458" t="s">
        <v>187</v>
      </c>
      <c r="X103" s="458" t="s">
        <v>188</v>
      </c>
      <c r="Y103" s="459" t="str">
        <f t="shared" si="38"/>
        <v>40%</v>
      </c>
      <c r="Z103" s="458" t="s">
        <v>222</v>
      </c>
      <c r="AA103" s="458" t="s">
        <v>190</v>
      </c>
      <c r="AB103" s="458" t="s">
        <v>191</v>
      </c>
      <c r="AC103" s="460">
        <f>IFERROR(IF(AND(V102="Probabilidad",V103="Probabilidad"),(AE102-(+AE102*Y103)),IF(AND(V102="Impacto",V103="Probabilidad"),(AE101-(+AE101*Y103)),IF(V103="Impacto",AE102,""))),"")</f>
        <v>4.3545600000000004E-2</v>
      </c>
      <c r="AD103" s="461" t="str">
        <f t="shared" si="39"/>
        <v>Muy Baja</v>
      </c>
      <c r="AE103" s="462">
        <f t="shared" si="40"/>
        <v>4.3545600000000004E-2</v>
      </c>
      <c r="AF103" s="461" t="str">
        <f t="shared" si="41"/>
        <v>Catastrófico</v>
      </c>
      <c r="AG103" s="462">
        <f>IFERROR(IF(AND(V102="Impacto",V103="Impacto"),(AG102-(+AG102*Y103)),IF(AND(V102="Probabilidad",V103="Impacto"),(AG101-(+AG101*Y103)),IF(V103="Probabilidad",AG102,""))),"")</f>
        <v>1</v>
      </c>
      <c r="AH103" s="463" t="str">
        <f t="shared" si="42"/>
        <v>Extremo</v>
      </c>
      <c r="AI103" s="464" t="s">
        <v>192</v>
      </c>
      <c r="AJ103" s="465"/>
      <c r="AK103" s="209"/>
      <c r="AL103" s="465"/>
      <c r="AM103" s="466"/>
      <c r="AN103" s="468"/>
    </row>
    <row r="104" spans="1:40" ht="409.5" x14ac:dyDescent="0.2">
      <c r="A104" s="446">
        <v>43</v>
      </c>
      <c r="B104" s="446" t="s">
        <v>520</v>
      </c>
      <c r="C104" s="447" t="s">
        <v>521</v>
      </c>
      <c r="D104" s="447" t="str">
        <f>IFERROR(INDEX('Base de datos gestión'!$D$28:$D$50,MATCH(C104,'Base de datos gestión'!$C$28:$C$50,0)), 0)</f>
        <v>Asesorar y prestar servicios de asistencia técnica en materia de metrología científica o industrial y realizar estudios técnicos que permitan identificar las necesidades y capacidades metrológicas de productores y laboratorios del país, con el fin de fortalecer la competitividad y productividad de los procesos productivos o de medición de los usuarios.
El proceso se relaciona con el objetivo estratégico: Brindar herramientas que faciliten la diseminación de la trazabilidad y del conocimiento en metrología, para contribuir al aseguramiento de la calidad de los bienes y servicios que se desarrollan y comercializan en el país.</v>
      </c>
      <c r="E104" s="447" t="str">
        <f>IFERROR(INDEX('Base de datos gestión'!$E$28:$E$50,MATCH(C104,'Base de datos gestión'!$C$28:$C$50,0)), 0)</f>
        <v>Este proceso incluye la identificación de necesidades y capacidades metrológicas y las modalidades del servicio de asistencia técnica que se ajusta a la solicitud del usuario (asesoría, formación y evaluación de capacidades). Inicia con Planificar la prestación de servicio de asistencia técnica y finaliza con realizar la entrega final de los productos pactados con el cliente e identificar la percepción del cliente frente al servicio prestado.</v>
      </c>
      <c r="F104" s="476" t="s">
        <v>234</v>
      </c>
      <c r="G104" s="475" t="s">
        <v>522</v>
      </c>
      <c r="H104" s="476" t="s">
        <v>523</v>
      </c>
      <c r="I104" s="476" t="s">
        <v>524</v>
      </c>
      <c r="J104" s="476" t="s">
        <v>182</v>
      </c>
      <c r="K104" s="476" t="s">
        <v>258</v>
      </c>
      <c r="L104" s="476">
        <v>10</v>
      </c>
      <c r="M104" s="450" t="str">
        <f t="shared" si="56"/>
        <v>Baja</v>
      </c>
      <c r="N104" s="451">
        <f t="shared" si="51"/>
        <v>0.4</v>
      </c>
      <c r="O104" s="452" t="s">
        <v>214</v>
      </c>
      <c r="P104" s="451" t="str">
        <f>IF(NOT(ISERROR(MATCH(O104,'Tabla Impacto'!$B$222:$B$224,0))),'Tabla Impacto'!$F$224&amp;"Por favor no seleccionar los criterios de impacto(Afectación Económica o presupuestal y Pérdida Reputacional)",O104)</f>
        <v xml:space="preserve">     El riesgo afecta la imagen de la entidad con algunos usuarios de relevancia frente al logro de los objetivos</v>
      </c>
      <c r="Q104" s="453" t="str">
        <f>IF(OR(P104='[1]Tabla Impacto'!$C$12,P104='[1]Tabla Impacto'!$D$12),"Leve",IF(OR(P104='[1]Tabla Impacto'!$C$13,P104='[1]Tabla Impacto'!$D$13),"Menor",IF(OR(P104='[1]Tabla Impacto'!$C$14,P104='[1]Tabla Impacto'!$D$14),"Moderado",IF(OR(P104='[1]Tabla Impacto'!$C$15,P104='[1]Tabla Impacto'!$D$15),"Mayor",IF(OR(P104='[1]Tabla Impacto'!$C$16,P104='[1]Tabla Impacto'!$D$16),"Catastrófico","")))))</f>
        <v>Moderado</v>
      </c>
      <c r="R104" s="452">
        <f t="shared" si="54"/>
        <v>0.6</v>
      </c>
      <c r="S104" s="454" t="str">
        <f t="shared" si="55"/>
        <v>Moderado</v>
      </c>
      <c r="T104" s="457">
        <v>2</v>
      </c>
      <c r="U104" s="477" t="s">
        <v>526</v>
      </c>
      <c r="V104" s="457" t="str">
        <f t="shared" si="49"/>
        <v>Probabilidad</v>
      </c>
      <c r="W104" s="458" t="s">
        <v>187</v>
      </c>
      <c r="X104" s="458" t="s">
        <v>341</v>
      </c>
      <c r="Y104" s="459" t="str">
        <f t="shared" si="38"/>
        <v>50%</v>
      </c>
      <c r="Z104" s="458" t="s">
        <v>222</v>
      </c>
      <c r="AA104" s="458" t="s">
        <v>190</v>
      </c>
      <c r="AB104" s="458" t="s">
        <v>191</v>
      </c>
      <c r="AC104" s="460">
        <f>IFERROR(IF(V104="Probabilidad",(N104-(+N104*Y104)),IF(V104="Impacto",N104,"")),"")</f>
        <v>0.2</v>
      </c>
      <c r="AD104" s="461" t="str">
        <f t="shared" si="39"/>
        <v>Muy Baja</v>
      </c>
      <c r="AE104" s="462">
        <f t="shared" si="40"/>
        <v>0.2</v>
      </c>
      <c r="AF104" s="461" t="str">
        <f t="shared" si="41"/>
        <v>Moderado</v>
      </c>
      <c r="AG104" s="462">
        <f>IFERROR(IF(V104="Impacto",(R104-(+R104*Y104)),IF(V104="Probabilidad",R104,"")),"")</f>
        <v>0.6</v>
      </c>
      <c r="AH104" s="463" t="str">
        <f t="shared" si="42"/>
        <v>Moderado</v>
      </c>
      <c r="AI104" s="464" t="s">
        <v>192</v>
      </c>
      <c r="AJ104" s="465"/>
      <c r="AK104" s="209"/>
      <c r="AL104" s="465"/>
      <c r="AM104" s="466"/>
      <c r="AN104" s="468"/>
    </row>
    <row r="105" spans="1:40" ht="409.5" x14ac:dyDescent="0.2">
      <c r="A105" s="469">
        <v>44</v>
      </c>
      <c r="B105" s="469" t="s">
        <v>527</v>
      </c>
      <c r="C105" s="470" t="s">
        <v>521</v>
      </c>
      <c r="D105" s="447" t="str">
        <f>IFERROR(INDEX('Base de datos gestión'!$D$28:$D$50,MATCH(C105,'Base de datos gestión'!$C$28:$C$50,0)), 0)</f>
        <v>Asesorar y prestar servicios de asistencia técnica en materia de metrología científica o industrial y realizar estudios técnicos que permitan identificar las necesidades y capacidades metrológicas de productores y laboratorios del país, con el fin de fortalecer la competitividad y productividad de los procesos productivos o de medición de los usuarios.
El proceso se relaciona con el objetivo estratégico: Brindar herramientas que faciliten la diseminación de la trazabilidad y del conocimiento en metrología, para contribuir al aseguramiento de la calidad de los bienes y servicios que se desarrollan y comercializan en el país.</v>
      </c>
      <c r="E105" s="447" t="str">
        <f>IFERROR(INDEX('Base de datos gestión'!$E$28:$E$50,MATCH(C105,'Base de datos gestión'!$C$28:$C$50,0)), 0)</f>
        <v>Este proceso incluye la identificación de necesidades y capacidades metrológicas y las modalidades del servicio de asistencia técnica que se ajusta a la solicitud del usuario (asesoría, formación y evaluación de capacidades). Inicia con Planificar la prestación de servicio de asistencia técnica y finaliza con realizar la entrega final de los productos pactados con el cliente e identificar la percepción del cliente frente al servicio prestado.</v>
      </c>
      <c r="F105" s="474" t="s">
        <v>178</v>
      </c>
      <c r="G105" s="475" t="s">
        <v>528</v>
      </c>
      <c r="H105" s="474" t="s">
        <v>529</v>
      </c>
      <c r="I105" s="474" t="s">
        <v>530</v>
      </c>
      <c r="J105" s="476" t="s">
        <v>182</v>
      </c>
      <c r="K105" s="476" t="s">
        <v>320</v>
      </c>
      <c r="L105" s="476">
        <v>10</v>
      </c>
      <c r="M105" s="450" t="str">
        <f t="shared" si="56"/>
        <v>Baja</v>
      </c>
      <c r="N105" s="451">
        <f t="shared" si="51"/>
        <v>0.4</v>
      </c>
      <c r="O105" s="452" t="s">
        <v>207</v>
      </c>
      <c r="P105" s="451" t="str">
        <f>IF(NOT(ISERROR(MATCH(O105,'Tabla Impacto'!$B$222:$B$224,0))),'Tabla Impacto'!$F$224&amp;"Por favor no seleccionar los criterios de impacto(Afectación Económica o presupuestal y Pérdida Reputacional)",O105)</f>
        <v xml:space="preserve">     El riesgo afecta la imagen de la entidad internamente, de conocimiento general, nivel interno, de junta directiva y accionistas y/o de proveedores</v>
      </c>
      <c r="Q105" s="453" t="s">
        <v>8</v>
      </c>
      <c r="R105" s="452">
        <v>0.6</v>
      </c>
      <c r="S105" s="454" t="s">
        <v>8</v>
      </c>
      <c r="T105" s="457">
        <v>1</v>
      </c>
      <c r="U105" s="492" t="s">
        <v>531</v>
      </c>
      <c r="V105" s="457" t="str">
        <f t="shared" si="49"/>
        <v>Probabilidad</v>
      </c>
      <c r="W105" s="458" t="s">
        <v>187</v>
      </c>
      <c r="X105" s="458" t="s">
        <v>188</v>
      </c>
      <c r="Y105" s="459" t="str">
        <f t="shared" si="38"/>
        <v>40%</v>
      </c>
      <c r="Z105" s="458" t="s">
        <v>222</v>
      </c>
      <c r="AA105" s="458" t="s">
        <v>202</v>
      </c>
      <c r="AB105" s="458" t="s">
        <v>191</v>
      </c>
      <c r="AC105" s="460">
        <f>IFERROR(IF(AND(V104="Probabilidad",V105="Probabilidad"),(AE104-(+AE104*Y105)),IF(V105="Probabilidad",(N104-(+N104*Y105)),IF(V105="Impacto",AE104,""))),"")</f>
        <v>0.12</v>
      </c>
      <c r="AD105" s="461" t="str">
        <f t="shared" si="39"/>
        <v>Muy Baja</v>
      </c>
      <c r="AE105" s="462">
        <f t="shared" si="40"/>
        <v>0.12</v>
      </c>
      <c r="AF105" s="461" t="str">
        <f t="shared" si="41"/>
        <v>Catastrófico</v>
      </c>
      <c r="AG105" s="462">
        <f>IFERROR(IF(AND(V104="Impacto",V105="Impacto"),(AG98-(+AG98*Y105)),IF(V105="Impacto",($R$56-(+$R$56*Y105)),IF(V105="Probabilidad",AG98,""))),"")</f>
        <v>1</v>
      </c>
      <c r="AH105" s="463" t="str">
        <f t="shared" si="42"/>
        <v>Extremo</v>
      </c>
      <c r="AI105" s="464" t="s">
        <v>192</v>
      </c>
      <c r="AJ105" s="465"/>
      <c r="AK105" s="209"/>
      <c r="AL105" s="465"/>
      <c r="AM105" s="466"/>
      <c r="AN105" s="468"/>
    </row>
    <row r="106" spans="1:40" ht="409.5" x14ac:dyDescent="0.2">
      <c r="A106" s="469">
        <v>45</v>
      </c>
      <c r="B106" s="469" t="s">
        <v>532</v>
      </c>
      <c r="C106" s="470" t="s">
        <v>521</v>
      </c>
      <c r="D106" s="447" t="str">
        <f>IFERROR(INDEX('Base de datos gestión'!$D$28:$D$50,MATCH(C106,'Base de datos gestión'!$C$28:$C$50,0)), 0)</f>
        <v>Asesorar y prestar servicios de asistencia técnica en materia de metrología científica o industrial y realizar estudios técnicos que permitan identificar las necesidades y capacidades metrológicas de productores y laboratorios del país, con el fin de fortalecer la competitividad y productividad de los procesos productivos o de medición de los usuarios.
El proceso se relaciona con el objetivo estratégico: Brindar herramientas que faciliten la diseminación de la trazabilidad y del conocimiento en metrología, para contribuir al aseguramiento de la calidad de los bienes y servicios que se desarrollan y comercializan en el país.</v>
      </c>
      <c r="E106" s="447" t="str">
        <f>IFERROR(INDEX('Base de datos gestión'!$E$28:$E$50,MATCH(C106,'Base de datos gestión'!$C$28:$C$50,0)), 0)</f>
        <v>Este proceso incluye la identificación de necesidades y capacidades metrológicas y las modalidades del servicio de asistencia técnica que se ajusta a la solicitud del usuario (asesoría, formación y evaluación de capacidades). Inicia con Planificar la prestación de servicio de asistencia técnica y finaliza con realizar la entrega final de los productos pactados con el cliente e identificar la percepción del cliente frente al servicio prestado.</v>
      </c>
      <c r="F106" s="474" t="s">
        <v>234</v>
      </c>
      <c r="G106" s="475" t="s">
        <v>533</v>
      </c>
      <c r="H106" s="474" t="s">
        <v>534</v>
      </c>
      <c r="I106" s="474" t="s">
        <v>535</v>
      </c>
      <c r="J106" s="476" t="s">
        <v>238</v>
      </c>
      <c r="K106" s="476" t="s">
        <v>258</v>
      </c>
      <c r="L106" s="476">
        <v>10</v>
      </c>
      <c r="M106" s="450" t="str">
        <f t="shared" si="56"/>
        <v>Baja</v>
      </c>
      <c r="N106" s="451">
        <f t="shared" si="51"/>
        <v>0.4</v>
      </c>
      <c r="O106" s="452" t="s">
        <v>207</v>
      </c>
      <c r="P106" s="451" t="str">
        <f>IF(NOT(ISERROR(MATCH(O106,'Tabla Impacto'!$B$222:$B$224,0))),'Tabla Impacto'!$F$224&amp;"Por favor no seleccionar los criterios de impacto(Afectación Económica o presupuestal y Pérdida Reputacional)",O106)</f>
        <v xml:space="preserve">     El riesgo afecta la imagen de la entidad internamente, de conocimiento general, nivel interno, de junta directiva y accionistas y/o de proveedores</v>
      </c>
      <c r="Q106" s="453" t="s">
        <v>8</v>
      </c>
      <c r="R106" s="452">
        <v>0.6</v>
      </c>
      <c r="S106" s="454" t="s">
        <v>8</v>
      </c>
      <c r="T106" s="457">
        <v>1</v>
      </c>
      <c r="U106" s="477" t="s">
        <v>536</v>
      </c>
      <c r="V106" s="457" t="str">
        <f t="shared" si="49"/>
        <v>Probabilidad</v>
      </c>
      <c r="W106" s="458" t="s">
        <v>187</v>
      </c>
      <c r="X106" s="458" t="s">
        <v>188</v>
      </c>
      <c r="Y106" s="459" t="str">
        <f t="shared" si="38"/>
        <v>40%</v>
      </c>
      <c r="Z106" s="458" t="s">
        <v>222</v>
      </c>
      <c r="AA106" s="458" t="s">
        <v>190</v>
      </c>
      <c r="AB106" s="458" t="s">
        <v>191</v>
      </c>
      <c r="AC106" s="460">
        <f>IFERROR(IF(AND(V105="Probabilidad",V106="Probabilidad"),(AE105-(+AE105*Y106)),IF(AND(V105="Impacto",V106="Probabilidad"),(AE104-(+AE104*Y106)),IF(V106="Impacto",AE105,""))),"")</f>
        <v>7.1999999999999995E-2</v>
      </c>
      <c r="AD106" s="461" t="str">
        <f t="shared" si="39"/>
        <v>Muy Baja</v>
      </c>
      <c r="AE106" s="462">
        <f t="shared" si="40"/>
        <v>7.1999999999999995E-2</v>
      </c>
      <c r="AF106" s="461" t="str">
        <f t="shared" si="41"/>
        <v>Catastrófico</v>
      </c>
      <c r="AG106" s="462">
        <f>IFERROR(IF(AND(V105="Impacto",V106="Impacto"),(AG105-(+AG105*Y106)),IF(AND(V105="Probabilidad",V106="Impacto"),(AG104-(+AG104*Y106)),IF(V106="Probabilidad",AG105,""))),"")</f>
        <v>1</v>
      </c>
      <c r="AH106" s="463" t="str">
        <f t="shared" si="42"/>
        <v>Extremo</v>
      </c>
      <c r="AI106" s="464" t="s">
        <v>192</v>
      </c>
      <c r="AJ106" s="465"/>
      <c r="AK106" s="209"/>
      <c r="AL106" s="465"/>
      <c r="AM106" s="466"/>
      <c r="AN106" s="468"/>
    </row>
    <row r="107" spans="1:40" ht="409.5" x14ac:dyDescent="0.2">
      <c r="A107" s="469">
        <v>45</v>
      </c>
      <c r="B107" s="469" t="s">
        <v>532</v>
      </c>
      <c r="C107" s="470" t="s">
        <v>521</v>
      </c>
      <c r="D107" s="447" t="str">
        <f>IFERROR(INDEX('Base de datos gestión'!$D$28:$D$50,MATCH(C107,'Base de datos gestión'!$C$28:$C$50,0)), 0)</f>
        <v>Asesorar y prestar servicios de asistencia técnica en materia de metrología científica o industrial y realizar estudios técnicos que permitan identificar las necesidades y capacidades metrológicas de productores y laboratorios del país, con el fin de fortalecer la competitividad y productividad de los procesos productivos o de medición de los usuarios.
El proceso se relaciona con el objetivo estratégico: Brindar herramientas que faciliten la diseminación de la trazabilidad y del conocimiento en metrología, para contribuir al aseguramiento de la calidad de los bienes y servicios que se desarrollan y comercializan en el país.</v>
      </c>
      <c r="E107" s="447" t="str">
        <f>IFERROR(INDEX('Base de datos gestión'!$E$28:$E$50,MATCH(C107,'Base de datos gestión'!$C$28:$C$50,0)), 0)</f>
        <v>Este proceso incluye la identificación de necesidades y capacidades metrológicas y las modalidades del servicio de asistencia técnica que se ajusta a la solicitud del usuario (asesoría, formación y evaluación de capacidades). Inicia con Planificar la prestación de servicio de asistencia técnica y finaliza con realizar la entrega final de los productos pactados con el cliente e identificar la percepción del cliente frente al servicio prestado.</v>
      </c>
      <c r="F107" s="474" t="s">
        <v>234</v>
      </c>
      <c r="G107" s="475" t="s">
        <v>533</v>
      </c>
      <c r="H107" s="474" t="s">
        <v>534</v>
      </c>
      <c r="I107" s="474" t="s">
        <v>535</v>
      </c>
      <c r="J107" s="476" t="s">
        <v>238</v>
      </c>
      <c r="K107" s="476" t="s">
        <v>258</v>
      </c>
      <c r="L107" s="476">
        <v>10</v>
      </c>
      <c r="M107" s="450" t="str">
        <f t="shared" si="56"/>
        <v>Baja</v>
      </c>
      <c r="N107" s="451">
        <f t="shared" si="51"/>
        <v>0.4</v>
      </c>
      <c r="O107" s="452" t="s">
        <v>207</v>
      </c>
      <c r="P107" s="451" t="str">
        <f>IF(NOT(ISERROR(MATCH(O107,'Tabla Impacto'!$B$222:$B$224,0))),'Tabla Impacto'!$F$224&amp;"Por favor no seleccionar los criterios de impacto(Afectación Económica o presupuestal y Pérdida Reputacional)",O107)</f>
        <v xml:space="preserve">     El riesgo afecta la imagen de la entidad internamente, de conocimiento general, nivel interno, de junta directiva y accionistas y/o de proveedores</v>
      </c>
      <c r="Q107" s="453" t="s">
        <v>8</v>
      </c>
      <c r="R107" s="452">
        <v>0.6</v>
      </c>
      <c r="S107" s="454" t="s">
        <v>8</v>
      </c>
      <c r="T107" s="457">
        <v>2</v>
      </c>
      <c r="U107" s="492" t="s">
        <v>537</v>
      </c>
      <c r="V107" s="457" t="str">
        <f t="shared" si="49"/>
        <v>Probabilidad</v>
      </c>
      <c r="W107" s="458" t="s">
        <v>187</v>
      </c>
      <c r="X107" s="458" t="s">
        <v>341</v>
      </c>
      <c r="Y107" s="459" t="str">
        <f t="shared" si="38"/>
        <v>50%</v>
      </c>
      <c r="Z107" s="458" t="s">
        <v>222</v>
      </c>
      <c r="AA107" s="458" t="s">
        <v>190</v>
      </c>
      <c r="AB107" s="458" t="s">
        <v>191</v>
      </c>
      <c r="AC107" s="460">
        <f>IFERROR(IF(AND(V106="Probabilidad",V107="Probabilidad"),(AE106-(+AE106*Y107)),IF(AND(V106="Impacto",V107="Probabilidad"),(AE105-(+AE105*Y107)),IF(V107="Impacto",AE106,""))),"")</f>
        <v>3.5999999999999997E-2</v>
      </c>
      <c r="AD107" s="461" t="str">
        <f t="shared" si="39"/>
        <v>Muy Baja</v>
      </c>
      <c r="AE107" s="462">
        <f t="shared" si="40"/>
        <v>3.5999999999999997E-2</v>
      </c>
      <c r="AF107" s="461" t="str">
        <f t="shared" si="41"/>
        <v>Catastrófico</v>
      </c>
      <c r="AG107" s="462">
        <f>IFERROR(IF(AND(V106="Impacto",V107="Impacto"),(AG106-(+AG106*Y107)),IF(AND(V106="Probabilidad",V107="Impacto"),(AG105-(+AG105*Y107)),IF(V107="Probabilidad",AG106,""))),"")</f>
        <v>1</v>
      </c>
      <c r="AH107" s="463" t="str">
        <f t="shared" si="42"/>
        <v>Extremo</v>
      </c>
      <c r="AI107" s="464" t="s">
        <v>192</v>
      </c>
      <c r="AJ107" s="465"/>
      <c r="AK107" s="209"/>
      <c r="AL107" s="465"/>
      <c r="AM107" s="466"/>
      <c r="AN107" s="468"/>
    </row>
    <row r="108" spans="1:40" ht="409.5" x14ac:dyDescent="0.2">
      <c r="A108" s="469">
        <v>46</v>
      </c>
      <c r="B108" s="469" t="s">
        <v>538</v>
      </c>
      <c r="C108" s="470" t="s">
        <v>539</v>
      </c>
      <c r="D108" s="447" t="str">
        <f>IFERROR(INDEX('Base de datos gestión'!$D$28:$D$50,MATCH(C108,'Base de datos gestión'!$C$28:$C$50,0)), 0)</f>
        <v>Gestionar proyectos de Investigación, Desarrollo Tecnológico e Innovación propuestos por la entidad, mediante la formulación de ideas, el diseño y desarrollo de herramientas para la estructuración, ejecución y seguimiento de actividades de proyectos de I+D+i, de acuerdo con los planes de trabajo de los grupos de investigación y demás áreas involucradas en el I+D+i, para facilitar la transferencia de conocimiento en temas relacionados con metrología científica e industrial.
El proceso se relaciona con el objetivo estratégico: D.1. Posicionar las actividades de ciencia, tecnología e innovación en metrología que contribuyan a la competitividad, productividad y el bienestar de la población.</v>
      </c>
      <c r="E108" s="447" t="str">
        <f>IFERROR(INDEX('Base de datos gestión'!$E$28:$E$50,MATCH(C108,'Base de datos gestión'!$C$28:$C$50,0)), 0)</f>
        <v>Desde la definición de lineamientos, criterios, procedimientos y formatos para la formulación de ideas y la estructuración de los proyectos de I+D+i en el INM, hasta difundir los resultados y productos de los Proyectos de Investigación Desarrollo tecnológico e Innovación del INM.</v>
      </c>
      <c r="F108" s="474" t="s">
        <v>178</v>
      </c>
      <c r="G108" s="475" t="s">
        <v>540</v>
      </c>
      <c r="H108" s="476" t="s">
        <v>541</v>
      </c>
      <c r="I108" s="474" t="s">
        <v>542</v>
      </c>
      <c r="J108" s="476" t="s">
        <v>182</v>
      </c>
      <c r="K108" s="476" t="s">
        <v>183</v>
      </c>
      <c r="L108" s="476">
        <v>4</v>
      </c>
      <c r="M108" s="450" t="str">
        <f t="shared" si="56"/>
        <v>Baja</v>
      </c>
      <c r="N108" s="451">
        <f t="shared" si="51"/>
        <v>0.4</v>
      </c>
      <c r="O108" s="452" t="s">
        <v>214</v>
      </c>
      <c r="P108" s="451" t="str">
        <f>IF(NOT(ISERROR(MATCH(O108,'Tabla Impacto'!$B$222:$B$224,0))),'Tabla Impacto'!$F$224&amp;"Por favor no seleccionar los criterios de impacto(Afectación Económica o presupuestal y Pérdida Reputacional)",O108)</f>
        <v xml:space="preserve">     El riesgo afecta la imagen de la entidad con algunos usuarios de relevancia frente al logro de los objetivos</v>
      </c>
      <c r="Q108" s="453" t="str">
        <f>IF(OR(P108='[1]Tabla Impacto'!$C$12,P108='[1]Tabla Impacto'!$D$12),"Leve",IF(OR(P108='[1]Tabla Impacto'!$C$13,P108='[1]Tabla Impacto'!$D$13),"Menor",IF(OR(P108='[1]Tabla Impacto'!$C$14,P108='[1]Tabla Impacto'!$D$14),"Moderado",IF(OR(P108='[1]Tabla Impacto'!$C$15,P108='[1]Tabla Impacto'!$D$15),"Mayor",IF(OR(P108='[1]Tabla Impacto'!$C$16,P108='[1]Tabla Impacto'!$D$16),"Catastrófico","")))))</f>
        <v>Moderado</v>
      </c>
      <c r="R108" s="452">
        <f t="shared" si="54"/>
        <v>0.6</v>
      </c>
      <c r="S108" s="454" t="str">
        <f t="shared" si="55"/>
        <v>Moderado</v>
      </c>
      <c r="T108" s="457">
        <v>1</v>
      </c>
      <c r="U108" s="477" t="s">
        <v>543</v>
      </c>
      <c r="V108" s="457" t="str">
        <f t="shared" si="49"/>
        <v>Probabilidad</v>
      </c>
      <c r="W108" s="458" t="s">
        <v>187</v>
      </c>
      <c r="X108" s="458" t="s">
        <v>188</v>
      </c>
      <c r="Y108" s="459" t="str">
        <f t="shared" si="38"/>
        <v>40%</v>
      </c>
      <c r="Z108" s="458" t="s">
        <v>222</v>
      </c>
      <c r="AA108" s="458" t="s">
        <v>190</v>
      </c>
      <c r="AB108" s="493" t="s">
        <v>191</v>
      </c>
      <c r="AC108" s="460">
        <f>IFERROR(IF(AND(V107="Probabilidad",V108="Probabilidad"),(AE107-(+AE107*Y108)),IF(AND(V107="Impacto",V108="Probabilidad"),(AE106-(+AE106*Y108)),IF(V108="Impacto",AE107,""))),"")</f>
        <v>2.1599999999999998E-2</v>
      </c>
      <c r="AD108" s="461" t="str">
        <f t="shared" si="39"/>
        <v>Muy Baja</v>
      </c>
      <c r="AE108" s="462">
        <f t="shared" si="40"/>
        <v>2.1599999999999998E-2</v>
      </c>
      <c r="AF108" s="461" t="str">
        <f t="shared" si="41"/>
        <v>Catastrófico</v>
      </c>
      <c r="AG108" s="462">
        <f>IFERROR(IF(AND(V107="Impacto",V108="Impacto"),(AG107-(+AG107*Y108)),IF(AND(V107="Probabilidad",V108="Impacto"),(AG106-(+AG106*Y108)),IF(V108="Probabilidad",AG107,""))),"")</f>
        <v>1</v>
      </c>
      <c r="AH108" s="463" t="str">
        <f t="shared" si="42"/>
        <v>Extremo</v>
      </c>
      <c r="AI108" s="465" t="s">
        <v>192</v>
      </c>
      <c r="AJ108" s="465"/>
      <c r="AK108" s="209"/>
      <c r="AL108" s="465"/>
      <c r="AM108" s="466"/>
      <c r="AN108" s="468"/>
    </row>
    <row r="109" spans="1:40" ht="409.5" x14ac:dyDescent="0.2">
      <c r="A109" s="478">
        <v>46</v>
      </c>
      <c r="B109" s="478" t="s">
        <v>538</v>
      </c>
      <c r="C109" s="479" t="s">
        <v>539</v>
      </c>
      <c r="D109" s="447" t="str">
        <f>IFERROR(INDEX('Base de datos gestión'!$D$28:$D$50,MATCH(C109,'Base de datos gestión'!$C$28:$C$50,0)), 0)</f>
        <v>Gestionar proyectos de Investigación, Desarrollo Tecnológico e Innovación propuestos por la entidad, mediante la formulación de ideas, el diseño y desarrollo de herramientas para la estructuración, ejecución y seguimiento de actividades de proyectos de I+D+i, de acuerdo con los planes de trabajo de los grupos de investigación y demás áreas involucradas en el I+D+i, para facilitar la transferencia de conocimiento en temas relacionados con metrología científica e industrial.
El proceso se relaciona con el objetivo estratégico: D.1. Posicionar las actividades de ciencia, tecnología e innovación en metrología que contribuyan a la competitividad, productividad y el bienestar de la población.</v>
      </c>
      <c r="E109" s="447" t="str">
        <f>IFERROR(INDEX('Base de datos gestión'!$E$28:$E$50,MATCH(C109,'Base de datos gestión'!$C$28:$C$50,0)), 0)</f>
        <v>Desde la definición de lineamientos, criterios, procedimientos y formatos para la formulación de ideas y la estructuración de los proyectos de I+D+i en el INM, hasta difundir los resultados y productos de los Proyectos de Investigación Desarrollo tecnológico e Innovación del INM.</v>
      </c>
      <c r="F109" s="474" t="s">
        <v>178</v>
      </c>
      <c r="G109" s="475" t="s">
        <v>540</v>
      </c>
      <c r="H109" s="476" t="s">
        <v>544</v>
      </c>
      <c r="I109" s="474" t="s">
        <v>542</v>
      </c>
      <c r="J109" s="476" t="s">
        <v>182</v>
      </c>
      <c r="K109" s="476" t="s">
        <v>183</v>
      </c>
      <c r="L109" s="476">
        <v>4</v>
      </c>
      <c r="M109" s="450" t="str">
        <f t="shared" si="56"/>
        <v>Baja</v>
      </c>
      <c r="N109" s="451">
        <f t="shared" si="51"/>
        <v>0.4</v>
      </c>
      <c r="O109" s="452" t="s">
        <v>214</v>
      </c>
      <c r="P109" s="451" t="str">
        <f>IF(NOT(ISERROR(MATCH(O109,'Tabla Impacto'!$B$222:$B$224,0))),'Tabla Impacto'!$F$224&amp;"Por favor no seleccionar los criterios de impacto(Afectación Económica o presupuestal y Pérdida Reputacional)",O109)</f>
        <v xml:space="preserve">     El riesgo afecta la imagen de la entidad con algunos usuarios de relevancia frente al logro de los objetivos</v>
      </c>
      <c r="Q109" s="453" t="str">
        <f>IF(OR(P109='[1]Tabla Impacto'!$C$12,P109='[1]Tabla Impacto'!$D$12),"Leve",IF(OR(P109='[1]Tabla Impacto'!$C$13,P109='[1]Tabla Impacto'!$D$13),"Menor",IF(OR(P109='[1]Tabla Impacto'!$C$14,P109='[1]Tabla Impacto'!$D$14),"Moderado",IF(OR(P109='[1]Tabla Impacto'!$C$15,P109='[1]Tabla Impacto'!$D$15),"Mayor",IF(OR(P109='[1]Tabla Impacto'!$C$16,P109='[1]Tabla Impacto'!$D$16),"Catastrófico","")))))</f>
        <v>Moderado</v>
      </c>
      <c r="R109" s="452">
        <f t="shared" si="54"/>
        <v>0.6</v>
      </c>
      <c r="S109" s="454" t="str">
        <f t="shared" si="55"/>
        <v>Moderado</v>
      </c>
      <c r="T109" s="457">
        <v>2</v>
      </c>
      <c r="U109" s="477" t="s">
        <v>545</v>
      </c>
      <c r="V109" s="457" t="str">
        <f t="shared" si="49"/>
        <v>Probabilidad</v>
      </c>
      <c r="W109" s="458" t="s">
        <v>187</v>
      </c>
      <c r="X109" s="458" t="s">
        <v>188</v>
      </c>
      <c r="Y109" s="459" t="str">
        <f t="shared" si="38"/>
        <v>40%</v>
      </c>
      <c r="Z109" s="458" t="s">
        <v>222</v>
      </c>
      <c r="AA109" s="458" t="s">
        <v>190</v>
      </c>
      <c r="AB109" s="493" t="s">
        <v>191</v>
      </c>
      <c r="AC109" s="460">
        <f>IFERROR(IF(AND(V108="Probabilidad",V109="Probabilidad"),(AE108-(+AE108*Y109)),IF(AND(V108="Impacto",V109="Probabilidad"),(AE107-(+AE107*Y109)),IF(V109="Impacto",AE108,""))),"")</f>
        <v>1.2959999999999998E-2</v>
      </c>
      <c r="AD109" s="461" t="str">
        <f t="shared" si="39"/>
        <v>Muy Baja</v>
      </c>
      <c r="AE109" s="462">
        <f t="shared" si="40"/>
        <v>1.2959999999999998E-2</v>
      </c>
      <c r="AF109" s="461" t="str">
        <f t="shared" si="41"/>
        <v>Catastrófico</v>
      </c>
      <c r="AG109" s="462">
        <f>IFERROR(IF(AND(V108="Impacto",V109="Impacto"),(AG108-(+AG108*Y109)),IF(AND(V108="Probabilidad",V109="Impacto"),(AG107-(+AG107*Y109)),IF(V109="Probabilidad",AG108,""))),"")</f>
        <v>1</v>
      </c>
      <c r="AH109" s="463" t="str">
        <f t="shared" si="42"/>
        <v>Extremo</v>
      </c>
      <c r="AI109" s="465" t="s">
        <v>192</v>
      </c>
      <c r="AJ109" s="465"/>
      <c r="AK109" s="209"/>
      <c r="AL109" s="465"/>
      <c r="AM109" s="466"/>
      <c r="AN109" s="468"/>
    </row>
    <row r="110" spans="1:40" ht="409.5" x14ac:dyDescent="0.2">
      <c r="A110" s="446">
        <v>46</v>
      </c>
      <c r="B110" s="446" t="s">
        <v>538</v>
      </c>
      <c r="C110" s="447" t="s">
        <v>539</v>
      </c>
      <c r="D110" s="447" t="str">
        <f>IFERROR(INDEX('Base de datos gestión'!$D$28:$D$50,MATCH(C110,'Base de datos gestión'!$C$28:$C$50,0)), 0)</f>
        <v>Gestionar proyectos de Investigación, Desarrollo Tecnológico e Innovación propuestos por la entidad, mediante la formulación de ideas, el diseño y desarrollo de herramientas para la estructuración, ejecución y seguimiento de actividades de proyectos de I+D+i, de acuerdo con los planes de trabajo de los grupos de investigación y demás áreas involucradas en el I+D+i, para facilitar la transferencia de conocimiento en temas relacionados con metrología científica e industrial.
El proceso se relaciona con el objetivo estratégico: D.1. Posicionar las actividades de ciencia, tecnología e innovación en metrología que contribuyan a la competitividad, productividad y el bienestar de la población.</v>
      </c>
      <c r="E110" s="447" t="str">
        <f>IFERROR(INDEX('Base de datos gestión'!$E$28:$E$50,MATCH(C110,'Base de datos gestión'!$C$28:$C$50,0)), 0)</f>
        <v>Desde la definición de lineamientos, criterios, procedimientos y formatos para la formulación de ideas y la estructuración de los proyectos de I+D+i en el INM, hasta difundir los resultados y productos de los Proyectos de Investigación Desarrollo tecnológico e Innovación del INM.</v>
      </c>
      <c r="F110" s="474" t="s">
        <v>178</v>
      </c>
      <c r="G110" s="475" t="s">
        <v>540</v>
      </c>
      <c r="H110" s="476" t="s">
        <v>546</v>
      </c>
      <c r="I110" s="474" t="s">
        <v>542</v>
      </c>
      <c r="J110" s="476" t="s">
        <v>182</v>
      </c>
      <c r="K110" s="476" t="s">
        <v>183</v>
      </c>
      <c r="L110" s="476">
        <v>4</v>
      </c>
      <c r="M110" s="450" t="str">
        <f t="shared" si="56"/>
        <v>Baja</v>
      </c>
      <c r="N110" s="451">
        <f t="shared" si="51"/>
        <v>0.4</v>
      </c>
      <c r="O110" s="452" t="s">
        <v>214</v>
      </c>
      <c r="P110" s="451" t="str">
        <f>IF(NOT(ISERROR(MATCH(O110,'Tabla Impacto'!$B$222:$B$224,0))),'Tabla Impacto'!$F$224&amp;"Por favor no seleccionar los criterios de impacto(Afectación Económica o presupuestal y Pérdida Reputacional)",O110)</f>
        <v xml:space="preserve">     El riesgo afecta la imagen de la entidad con algunos usuarios de relevancia frente al logro de los objetivos</v>
      </c>
      <c r="Q110" s="453" t="str">
        <f>IF(OR(P110='[1]Tabla Impacto'!$C$12,P110='[1]Tabla Impacto'!$D$12),"Leve",IF(OR(P110='[1]Tabla Impacto'!$C$13,P110='[1]Tabla Impacto'!$D$13),"Menor",IF(OR(P110='[1]Tabla Impacto'!$C$14,P110='[1]Tabla Impacto'!$D$14),"Moderado",IF(OR(P110='[1]Tabla Impacto'!$C$15,P110='[1]Tabla Impacto'!$D$15),"Mayor",IF(OR(P110='[1]Tabla Impacto'!$C$16,P110='[1]Tabla Impacto'!$D$16),"Catastrófico","")))))</f>
        <v>Moderado</v>
      </c>
      <c r="R110" s="452">
        <f t="shared" si="54"/>
        <v>0.6</v>
      </c>
      <c r="S110" s="454" t="str">
        <f t="shared" si="55"/>
        <v>Moderado</v>
      </c>
      <c r="T110" s="457">
        <v>3</v>
      </c>
      <c r="U110" s="477" t="s">
        <v>547</v>
      </c>
      <c r="V110" s="457" t="str">
        <f t="shared" si="49"/>
        <v>Probabilidad</v>
      </c>
      <c r="W110" s="458" t="s">
        <v>187</v>
      </c>
      <c r="X110" s="458" t="s">
        <v>188</v>
      </c>
      <c r="Y110" s="459" t="str">
        <f t="shared" si="38"/>
        <v>40%</v>
      </c>
      <c r="Z110" s="458" t="s">
        <v>189</v>
      </c>
      <c r="AA110" s="458" t="s">
        <v>190</v>
      </c>
      <c r="AB110" s="493" t="s">
        <v>191</v>
      </c>
      <c r="AC110" s="460">
        <f>IFERROR(IF(V110="Probabilidad",(N110-(+N110*Y110)),IF(V110="Impacto",N110,"")),"")</f>
        <v>0.24</v>
      </c>
      <c r="AD110" s="461" t="str">
        <f t="shared" si="39"/>
        <v>Baja</v>
      </c>
      <c r="AE110" s="462">
        <f t="shared" si="40"/>
        <v>0.24</v>
      </c>
      <c r="AF110" s="461" t="str">
        <f t="shared" si="41"/>
        <v>Moderado</v>
      </c>
      <c r="AG110" s="462">
        <f>IFERROR(IF(V110="Impacto",(R110-(+R110*Y110)),IF(V110="Probabilidad",R110,"")),"")</f>
        <v>0.6</v>
      </c>
      <c r="AH110" s="463" t="str">
        <f t="shared" si="42"/>
        <v>Moderado</v>
      </c>
      <c r="AI110" s="465" t="s">
        <v>192</v>
      </c>
      <c r="AJ110" s="465"/>
      <c r="AK110" s="209"/>
      <c r="AL110" s="465"/>
      <c r="AM110" s="466"/>
      <c r="AN110" s="468"/>
    </row>
    <row r="111" spans="1:40" ht="409.5" x14ac:dyDescent="0.2">
      <c r="A111" s="469">
        <v>47</v>
      </c>
      <c r="B111" s="469" t="s">
        <v>548</v>
      </c>
      <c r="C111" s="470" t="s">
        <v>539</v>
      </c>
      <c r="D111" s="447" t="str">
        <f>IFERROR(INDEX('Base de datos gestión'!$D$28:$D$50,MATCH(C111,'Base de datos gestión'!$C$28:$C$50,0)), 0)</f>
        <v>Gestionar proyectos de Investigación, Desarrollo Tecnológico e Innovación propuestos por la entidad, mediante la formulación de ideas, el diseño y desarrollo de herramientas para la estructuración, ejecución y seguimiento de actividades de proyectos de I+D+i, de acuerdo con los planes de trabajo de los grupos de investigación y demás áreas involucradas en el I+D+i, para facilitar la transferencia de conocimiento en temas relacionados con metrología científica e industrial.
El proceso se relaciona con el objetivo estratégico: D.1. Posicionar las actividades de ciencia, tecnología e innovación en metrología que contribuyan a la competitividad, productividad y el bienestar de la población.</v>
      </c>
      <c r="E111" s="447" t="str">
        <f>IFERROR(INDEX('Base de datos gestión'!$E$28:$E$50,MATCH(C111,'Base de datos gestión'!$C$28:$C$50,0)), 0)</f>
        <v>Desde la definición de lineamientos, criterios, procedimientos y formatos para la formulación de ideas y la estructuración de los proyectos de I+D+i en el INM, hasta difundir los resultados y productos de los Proyectos de Investigación Desarrollo tecnológico e Innovación del INM.</v>
      </c>
      <c r="F111" s="474" t="s">
        <v>178</v>
      </c>
      <c r="G111" s="475" t="s">
        <v>549</v>
      </c>
      <c r="H111" s="476" t="s">
        <v>550</v>
      </c>
      <c r="I111" s="476" t="s">
        <v>551</v>
      </c>
      <c r="J111" s="476" t="s">
        <v>182</v>
      </c>
      <c r="K111" s="476" t="s">
        <v>183</v>
      </c>
      <c r="L111" s="476">
        <v>1</v>
      </c>
      <c r="M111" s="450" t="str">
        <f t="shared" si="56"/>
        <v>Muy Baja</v>
      </c>
      <c r="N111" s="451">
        <f t="shared" si="51"/>
        <v>0.2</v>
      </c>
      <c r="O111" s="452" t="s">
        <v>239</v>
      </c>
      <c r="P111" s="451" t="str">
        <f>IF(NOT(ISERROR(MATCH(O111,'Tabla Impacto'!$B$222:$B$224,0))),'Tabla Impacto'!$F$224&amp;"Por favor no seleccionar los criterios de impacto(Afectación Económica o presupuestal y Pérdida Reputacional)",O111)</f>
        <v xml:space="preserve">     El riesgo afecta la imagen de de la entidad con efecto publicitario sostenido a nivel de sector administrativo, nivel departamental o municipal</v>
      </c>
      <c r="Q111" s="453" t="str">
        <f>IF(OR(P111='[1]Tabla Impacto'!$C$12,P111='[1]Tabla Impacto'!$D$12),"Leve",IF(OR(P111='[1]Tabla Impacto'!$C$13,P111='[1]Tabla Impacto'!$D$13),"Menor",IF(OR(P111='[1]Tabla Impacto'!$C$14,P111='[1]Tabla Impacto'!$D$14),"Moderado",IF(OR(P111='[1]Tabla Impacto'!$C$15,P111='[1]Tabla Impacto'!$D$15),"Mayor",IF(OR(P111='[1]Tabla Impacto'!$C$16,P111='[1]Tabla Impacto'!$D$16),"Catastrófico","")))))</f>
        <v>Mayor</v>
      </c>
      <c r="R111" s="452">
        <f t="shared" si="54"/>
        <v>0.8</v>
      </c>
      <c r="S111" s="454" t="str">
        <f t="shared" si="55"/>
        <v>Alto</v>
      </c>
      <c r="T111" s="457">
        <v>1</v>
      </c>
      <c r="U111" s="477" t="s">
        <v>552</v>
      </c>
      <c r="V111" s="457" t="str">
        <f t="shared" si="49"/>
        <v>Probabilidad</v>
      </c>
      <c r="W111" s="458" t="s">
        <v>187</v>
      </c>
      <c r="X111" s="458" t="s">
        <v>188</v>
      </c>
      <c r="Y111" s="459" t="str">
        <f t="shared" si="38"/>
        <v>40%</v>
      </c>
      <c r="Z111" s="458" t="s">
        <v>222</v>
      </c>
      <c r="AA111" s="458" t="s">
        <v>190</v>
      </c>
      <c r="AB111" s="458" t="s">
        <v>191</v>
      </c>
      <c r="AC111" s="460">
        <f>IFERROR(IF(AND(V110="Probabilidad",V111="Probabilidad"),(AE110-(+AE110*Y111)),IF(V111="Probabilidad",(N110-(+N110*Y111)),IF(V111="Impacto",AE110,""))),"")</f>
        <v>0.14399999999999999</v>
      </c>
      <c r="AD111" s="461" t="str">
        <f t="shared" si="39"/>
        <v>Muy Baja</v>
      </c>
      <c r="AE111" s="462">
        <f t="shared" si="40"/>
        <v>0.14399999999999999</v>
      </c>
      <c r="AF111" s="461" t="str">
        <f t="shared" si="41"/>
        <v>Moderado</v>
      </c>
      <c r="AG111" s="462">
        <f>IFERROR(IF(AND(V110="Impacto",V111="Impacto"),(AG104-(+AG104*Y111)),IF(V111="Impacto",($R$50-(+$R$50*Y111)),IF(V111="Probabilidad",AG104,""))),"")</f>
        <v>0.6</v>
      </c>
      <c r="AH111" s="463" t="str">
        <f t="shared" si="42"/>
        <v>Moderado</v>
      </c>
      <c r="AI111" s="465" t="s">
        <v>192</v>
      </c>
      <c r="AJ111" s="465"/>
      <c r="AK111" s="209"/>
      <c r="AL111" s="465"/>
      <c r="AM111" s="466"/>
      <c r="AN111" s="468"/>
    </row>
    <row r="112" spans="1:40" ht="409.5" x14ac:dyDescent="0.2">
      <c r="A112" s="469">
        <v>47</v>
      </c>
      <c r="B112" s="469" t="s">
        <v>548</v>
      </c>
      <c r="C112" s="470" t="s">
        <v>539</v>
      </c>
      <c r="D112" s="447" t="str">
        <f>IFERROR(INDEX('Base de datos gestión'!$D$28:$D$50,MATCH(C112,'Base de datos gestión'!$C$28:$C$50,0)), 0)</f>
        <v>Gestionar proyectos de Investigación, Desarrollo Tecnológico e Innovación propuestos por la entidad, mediante la formulación de ideas, el diseño y desarrollo de herramientas para la estructuración, ejecución y seguimiento de actividades de proyectos de I+D+i, de acuerdo con los planes de trabajo de los grupos de investigación y demás áreas involucradas en el I+D+i, para facilitar la transferencia de conocimiento en temas relacionados con metrología científica e industrial.
El proceso se relaciona con el objetivo estratégico: D.1. Posicionar las actividades de ciencia, tecnología e innovación en metrología que contribuyan a la competitividad, productividad y el bienestar de la población.</v>
      </c>
      <c r="E112" s="447" t="str">
        <f>IFERROR(INDEX('Base de datos gestión'!$E$28:$E$50,MATCH(C112,'Base de datos gestión'!$C$28:$C$50,0)), 0)</f>
        <v>Desde la definición de lineamientos, criterios, procedimientos y formatos para la formulación de ideas y la estructuración de los proyectos de I+D+i en el INM, hasta difundir los resultados y productos de los Proyectos de Investigación Desarrollo tecnológico e Innovación del INM.</v>
      </c>
      <c r="F112" s="474" t="s">
        <v>178</v>
      </c>
      <c r="G112" s="475" t="s">
        <v>549</v>
      </c>
      <c r="H112" s="476" t="s">
        <v>550</v>
      </c>
      <c r="I112" s="476" t="s">
        <v>551</v>
      </c>
      <c r="J112" s="476" t="s">
        <v>182</v>
      </c>
      <c r="K112" s="476" t="s">
        <v>183</v>
      </c>
      <c r="L112" s="476">
        <v>1</v>
      </c>
      <c r="M112" s="450" t="str">
        <f t="shared" si="56"/>
        <v>Muy Baja</v>
      </c>
      <c r="N112" s="451">
        <f t="shared" si="51"/>
        <v>0.2</v>
      </c>
      <c r="O112" s="452" t="s">
        <v>239</v>
      </c>
      <c r="P112" s="451" t="str">
        <f>IF(NOT(ISERROR(MATCH(O112,'Tabla Impacto'!$B$222:$B$224,0))),'Tabla Impacto'!$F$224&amp;"Por favor no seleccionar los criterios de impacto(Afectación Económica o presupuestal y Pérdida Reputacional)",O112)</f>
        <v xml:space="preserve">     El riesgo afecta la imagen de de la entidad con efecto publicitario sostenido a nivel de sector administrativo, nivel departamental o municipal</v>
      </c>
      <c r="Q112" s="453" t="str">
        <f>IF(OR(P112='[1]Tabla Impacto'!$C$12,P112='[1]Tabla Impacto'!$D$12),"Leve",IF(OR(P112='[1]Tabla Impacto'!$C$13,P112='[1]Tabla Impacto'!$D$13),"Menor",IF(OR(P112='[1]Tabla Impacto'!$C$14,P112='[1]Tabla Impacto'!$D$14),"Moderado",IF(OR(P112='[1]Tabla Impacto'!$C$15,P112='[1]Tabla Impacto'!$D$15),"Mayor",IF(OR(P112='[1]Tabla Impacto'!$C$16,P112='[1]Tabla Impacto'!$D$16),"Catastrófico","")))))</f>
        <v>Mayor</v>
      </c>
      <c r="R112" s="452">
        <f t="shared" si="54"/>
        <v>0.8</v>
      </c>
      <c r="S112" s="454" t="str">
        <f t="shared" si="55"/>
        <v>Alto</v>
      </c>
      <c r="T112" s="457">
        <v>2</v>
      </c>
      <c r="U112" s="477" t="s">
        <v>553</v>
      </c>
      <c r="V112" s="457" t="str">
        <f t="shared" si="49"/>
        <v>Probabilidad</v>
      </c>
      <c r="W112" s="458" t="s">
        <v>187</v>
      </c>
      <c r="X112" s="458" t="s">
        <v>188</v>
      </c>
      <c r="Y112" s="459" t="str">
        <f t="shared" si="38"/>
        <v>40%</v>
      </c>
      <c r="Z112" s="458" t="s">
        <v>222</v>
      </c>
      <c r="AA112" s="458" t="s">
        <v>190</v>
      </c>
      <c r="AB112" s="458" t="s">
        <v>191</v>
      </c>
      <c r="AC112" s="460">
        <f>IFERROR(IF(AND(V111="Probabilidad",V112="Probabilidad"),(AE111-(+AE111*Y112)),IF(AND(V111="Impacto",V112="Probabilidad"),(AE110-(+AE110*Y112)),IF(V112="Impacto",AE111,""))),"")</f>
        <v>8.6399999999999991E-2</v>
      </c>
      <c r="AD112" s="461" t="str">
        <f t="shared" si="39"/>
        <v>Muy Baja</v>
      </c>
      <c r="AE112" s="462">
        <f t="shared" si="40"/>
        <v>8.6399999999999991E-2</v>
      </c>
      <c r="AF112" s="461" t="str">
        <f t="shared" si="41"/>
        <v>Moderado</v>
      </c>
      <c r="AG112" s="462">
        <f>IFERROR(IF(AND(V111="Impacto",V112="Impacto"),(AG111-(+AG111*Y112)),IF(AND(V111="Probabilidad",V112="Impacto"),(AG110-(+AG110*Y112)),IF(V112="Probabilidad",AG111,""))),"")</f>
        <v>0.6</v>
      </c>
      <c r="AH112" s="463" t="str">
        <f t="shared" si="42"/>
        <v>Moderado</v>
      </c>
      <c r="AI112" s="465" t="s">
        <v>192</v>
      </c>
      <c r="AJ112" s="465"/>
      <c r="AK112" s="209"/>
      <c r="AL112" s="465"/>
      <c r="AM112" s="466"/>
      <c r="AN112" s="468"/>
    </row>
    <row r="113" spans="1:40" ht="409.5" x14ac:dyDescent="0.2">
      <c r="A113" s="469">
        <v>47</v>
      </c>
      <c r="B113" s="469" t="s">
        <v>548</v>
      </c>
      <c r="C113" s="470" t="s">
        <v>539</v>
      </c>
      <c r="D113" s="447" t="str">
        <f>IFERROR(INDEX('Base de datos gestión'!$D$28:$D$50,MATCH(C113,'Base de datos gestión'!$C$28:$C$50,0)), 0)</f>
        <v>Gestionar proyectos de Investigación, Desarrollo Tecnológico e Innovación propuestos por la entidad, mediante la formulación de ideas, el diseño y desarrollo de herramientas para la estructuración, ejecución y seguimiento de actividades de proyectos de I+D+i, de acuerdo con los planes de trabajo de los grupos de investigación y demás áreas involucradas en el I+D+i, para facilitar la transferencia de conocimiento en temas relacionados con metrología científica e industrial.
El proceso se relaciona con el objetivo estratégico: D.1. Posicionar las actividades de ciencia, tecnología e innovación en metrología que contribuyan a la competitividad, productividad y el bienestar de la población.</v>
      </c>
      <c r="E113" s="447" t="str">
        <f>IFERROR(INDEX('Base de datos gestión'!$E$28:$E$50,MATCH(C113,'Base de datos gestión'!$C$28:$C$50,0)), 0)</f>
        <v>Desde la definición de lineamientos, criterios, procedimientos y formatos para la formulación de ideas y la estructuración de los proyectos de I+D+i en el INM, hasta difundir los resultados y productos de los Proyectos de Investigación Desarrollo tecnológico e Innovación del INM.</v>
      </c>
      <c r="F113" s="474" t="s">
        <v>178</v>
      </c>
      <c r="G113" s="475" t="s">
        <v>549</v>
      </c>
      <c r="H113" s="476" t="s">
        <v>550</v>
      </c>
      <c r="I113" s="476" t="s">
        <v>551</v>
      </c>
      <c r="J113" s="476" t="s">
        <v>182</v>
      </c>
      <c r="K113" s="476" t="s">
        <v>183</v>
      </c>
      <c r="L113" s="476">
        <v>1</v>
      </c>
      <c r="M113" s="450" t="str">
        <f t="shared" si="56"/>
        <v>Muy Baja</v>
      </c>
      <c r="N113" s="451">
        <f t="shared" si="51"/>
        <v>0.2</v>
      </c>
      <c r="O113" s="452" t="s">
        <v>239</v>
      </c>
      <c r="P113" s="451" t="str">
        <f>IF(NOT(ISERROR(MATCH(O113,'Tabla Impacto'!$B$222:$B$224,0))),'Tabla Impacto'!$F$224&amp;"Por favor no seleccionar los criterios de impacto(Afectación Económica o presupuestal y Pérdida Reputacional)",O113)</f>
        <v xml:space="preserve">     El riesgo afecta la imagen de de la entidad con efecto publicitario sostenido a nivel de sector administrativo, nivel departamental o municipal</v>
      </c>
      <c r="Q113" s="453" t="str">
        <f>IF(OR(P113='[1]Tabla Impacto'!$C$12,P113='[1]Tabla Impacto'!$D$12),"Leve",IF(OR(P113='[1]Tabla Impacto'!$C$13,P113='[1]Tabla Impacto'!$D$13),"Menor",IF(OR(P113='[1]Tabla Impacto'!$C$14,P113='[1]Tabla Impacto'!$D$14),"Moderado",IF(OR(P113='[1]Tabla Impacto'!$C$15,P113='[1]Tabla Impacto'!$D$15),"Mayor",IF(OR(P113='[1]Tabla Impacto'!$C$16,P113='[1]Tabla Impacto'!$D$16),"Catastrófico","")))))</f>
        <v>Mayor</v>
      </c>
      <c r="R113" s="452">
        <f t="shared" si="54"/>
        <v>0.8</v>
      </c>
      <c r="S113" s="454" t="str">
        <f t="shared" si="55"/>
        <v>Alto</v>
      </c>
      <c r="T113" s="457">
        <v>3</v>
      </c>
      <c r="U113" s="477" t="s">
        <v>554</v>
      </c>
      <c r="V113" s="457" t="str">
        <f t="shared" si="49"/>
        <v>Probabilidad</v>
      </c>
      <c r="W113" s="458" t="s">
        <v>187</v>
      </c>
      <c r="X113" s="458" t="s">
        <v>188</v>
      </c>
      <c r="Y113" s="459" t="str">
        <f t="shared" si="38"/>
        <v>40%</v>
      </c>
      <c r="Z113" s="458" t="s">
        <v>222</v>
      </c>
      <c r="AA113" s="458" t="s">
        <v>190</v>
      </c>
      <c r="AB113" s="458" t="s">
        <v>191</v>
      </c>
      <c r="AC113" s="460">
        <f>IFERROR(IF(AND(V112="Probabilidad",V113="Probabilidad"),(AE112-(+AE112*Y113)),IF(AND(V112="Impacto",V113="Probabilidad"),(AE111-(+AE111*Y113)),IF(V113="Impacto",AE112,""))),"")</f>
        <v>5.183999999999999E-2</v>
      </c>
      <c r="AD113" s="461" t="str">
        <f t="shared" si="39"/>
        <v>Muy Baja</v>
      </c>
      <c r="AE113" s="462">
        <f t="shared" si="40"/>
        <v>5.183999999999999E-2</v>
      </c>
      <c r="AF113" s="461" t="str">
        <f t="shared" si="41"/>
        <v>Moderado</v>
      </c>
      <c r="AG113" s="462">
        <f>IFERROR(IF(AND(V112="Impacto",V113="Impacto"),(AG112-(+AG112*Y113)),IF(AND(V112="Probabilidad",V113="Impacto"),(AG111-(+AG111*Y113)),IF(V113="Probabilidad",AG112,""))),"")</f>
        <v>0.6</v>
      </c>
      <c r="AH113" s="463" t="str">
        <f t="shared" si="42"/>
        <v>Moderado</v>
      </c>
      <c r="AI113" s="465" t="s">
        <v>192</v>
      </c>
      <c r="AJ113" s="465"/>
      <c r="AK113" s="209"/>
      <c r="AL113" s="465"/>
      <c r="AM113" s="466"/>
      <c r="AN113" s="468"/>
    </row>
    <row r="114" spans="1:40" ht="409.5" x14ac:dyDescent="0.2">
      <c r="A114" s="469">
        <v>48</v>
      </c>
      <c r="B114" s="469" t="s">
        <v>555</v>
      </c>
      <c r="C114" s="470" t="s">
        <v>539</v>
      </c>
      <c r="D114" s="447" t="str">
        <f>IFERROR(INDEX('Base de datos gestión'!$D$28:$D$50,MATCH(C114,'Base de datos gestión'!$C$28:$C$50,0)), 0)</f>
        <v>Gestionar proyectos de Investigación, Desarrollo Tecnológico e Innovación propuestos por la entidad, mediante la formulación de ideas, el diseño y desarrollo de herramientas para la estructuración, ejecución y seguimiento de actividades de proyectos de I+D+i, de acuerdo con los planes de trabajo de los grupos de investigación y demás áreas involucradas en el I+D+i, para facilitar la transferencia de conocimiento en temas relacionados con metrología científica e industrial.
El proceso se relaciona con el objetivo estratégico: D.1. Posicionar las actividades de ciencia, tecnología e innovación en metrología que contribuyan a la competitividad, productividad y el bienestar de la población.</v>
      </c>
      <c r="E114" s="447" t="str">
        <f>IFERROR(INDEX('Base de datos gestión'!$E$28:$E$50,MATCH(C114,'Base de datos gestión'!$C$28:$C$50,0)), 0)</f>
        <v>Desde la definición de lineamientos, criterios, procedimientos y formatos para la formulación de ideas y la estructuración de los proyectos de I+D+i en el INM, hasta difundir los resultados y productos de los Proyectos de Investigación Desarrollo tecnológico e Innovación del INM.</v>
      </c>
      <c r="F114" s="476" t="s">
        <v>178</v>
      </c>
      <c r="G114" s="475" t="s">
        <v>556</v>
      </c>
      <c r="H114" s="476" t="s">
        <v>557</v>
      </c>
      <c r="I114" s="476" t="s">
        <v>558</v>
      </c>
      <c r="J114" s="476" t="s">
        <v>182</v>
      </c>
      <c r="K114" s="476" t="s">
        <v>183</v>
      </c>
      <c r="L114" s="476">
        <v>4</v>
      </c>
      <c r="M114" s="450" t="str">
        <f t="shared" si="56"/>
        <v>Baja</v>
      </c>
      <c r="N114" s="451">
        <f t="shared" si="51"/>
        <v>0.4</v>
      </c>
      <c r="O114" s="452" t="s">
        <v>214</v>
      </c>
      <c r="P114" s="451" t="str">
        <f>IF(NOT(ISERROR(MATCH(O114,'Tabla Impacto'!$B$222:$B$224,0))),'Tabla Impacto'!$F$224&amp;"Por favor no seleccionar los criterios de impacto(Afectación Económica o presupuestal y Pérdida Reputacional)",O114)</f>
        <v xml:space="preserve">     El riesgo afecta la imagen de la entidad con algunos usuarios de relevancia frente al logro de los objetivos</v>
      </c>
      <c r="Q114" s="453" t="str">
        <f>IF(OR(P114='[1]Tabla Impacto'!$C$12,P114='[1]Tabla Impacto'!$D$12),"Leve",IF(OR(P114='[1]Tabla Impacto'!$C$13,P114='[1]Tabla Impacto'!$D$13),"Menor",IF(OR(P114='[1]Tabla Impacto'!$C$14,P114='[1]Tabla Impacto'!$D$14),"Moderado",IF(OR(P114='[1]Tabla Impacto'!$C$15,P114='[1]Tabla Impacto'!$D$15),"Mayor",IF(OR(P114='[1]Tabla Impacto'!$C$16,P114='[1]Tabla Impacto'!$D$16),"Catastrófico","")))))</f>
        <v>Moderado</v>
      </c>
      <c r="R114" s="452">
        <f t="shared" si="54"/>
        <v>0.6</v>
      </c>
      <c r="S114" s="454" t="str">
        <f t="shared" si="55"/>
        <v>Moderado</v>
      </c>
      <c r="T114" s="457">
        <v>1</v>
      </c>
      <c r="U114" s="477" t="s">
        <v>559</v>
      </c>
      <c r="V114" s="457" t="str">
        <f t="shared" si="49"/>
        <v>Probabilidad</v>
      </c>
      <c r="W114" s="458" t="s">
        <v>187</v>
      </c>
      <c r="X114" s="458" t="s">
        <v>188</v>
      </c>
      <c r="Y114" s="459" t="str">
        <f t="shared" si="38"/>
        <v>40%</v>
      </c>
      <c r="Z114" s="458" t="s">
        <v>222</v>
      </c>
      <c r="AA114" s="458" t="s">
        <v>190</v>
      </c>
      <c r="AB114" s="458" t="s">
        <v>191</v>
      </c>
      <c r="AC114" s="460">
        <f>IFERROR(IF(AND(V113="Probabilidad",V114="Probabilidad"),(AE113-(+AE113*Y114)),IF(AND(V113="Impacto",V114="Probabilidad"),(AE112-(+AE112*Y114)),IF(V114="Impacto",AE113,""))),"")</f>
        <v>3.1103999999999993E-2</v>
      </c>
      <c r="AD114" s="461" t="str">
        <f t="shared" si="39"/>
        <v>Muy Baja</v>
      </c>
      <c r="AE114" s="462">
        <f t="shared" si="40"/>
        <v>3.1103999999999993E-2</v>
      </c>
      <c r="AF114" s="461" t="str">
        <f t="shared" si="41"/>
        <v>Moderado</v>
      </c>
      <c r="AG114" s="462">
        <f>IFERROR(IF(AND(V113="Impacto",V114="Impacto"),(AG113-(+AG113*Y114)),IF(AND(V113="Probabilidad",V114="Impacto"),(AG112-(+AG112*Y114)),IF(V114="Probabilidad",AG113,""))),"")</f>
        <v>0.6</v>
      </c>
      <c r="AH114" s="463" t="str">
        <f t="shared" si="42"/>
        <v>Moderado</v>
      </c>
      <c r="AI114" s="464" t="s">
        <v>192</v>
      </c>
      <c r="AJ114" s="465"/>
      <c r="AK114" s="209"/>
      <c r="AL114" s="465"/>
      <c r="AM114" s="466"/>
      <c r="AN114" s="468"/>
    </row>
    <row r="115" spans="1:40" ht="409.5" x14ac:dyDescent="0.2">
      <c r="A115" s="540">
        <v>49</v>
      </c>
      <c r="B115" s="540" t="s">
        <v>560</v>
      </c>
      <c r="C115" s="575" t="s">
        <v>561</v>
      </c>
      <c r="D115" s="447" t="str">
        <f>IFERROR(INDEX('Base de datos gestión'!$D$28:$D$50,MATCH(C115,'Base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15" s="447" t="str">
        <f>IFERROR(INDEX('Base de datos gestión'!$E$28:$E$50,MATCH(C115,'Base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15" s="474" t="s">
        <v>234</v>
      </c>
      <c r="G115" s="576" t="s">
        <v>562</v>
      </c>
      <c r="H115" s="577" t="s">
        <v>563</v>
      </c>
      <c r="I115" s="577" t="s">
        <v>564</v>
      </c>
      <c r="J115" s="476" t="s">
        <v>565</v>
      </c>
      <c r="K115" s="476" t="s">
        <v>183</v>
      </c>
      <c r="L115" s="476">
        <v>20</v>
      </c>
      <c r="M115" s="450" t="str">
        <f t="shared" si="56"/>
        <v>Baja</v>
      </c>
      <c r="N115" s="451">
        <f t="shared" si="51"/>
        <v>0.4</v>
      </c>
      <c r="O115" s="452" t="s">
        <v>207</v>
      </c>
      <c r="P115" s="451" t="str">
        <f>IF(NOT(ISERROR(MATCH(O115,'Tabla Impacto'!$B$222:$B$224,0))),'Tabla Impacto'!$F$224&amp;"Por favor no seleccionar los criterios de impacto(Afectación Económica o presupuestal y Pérdida Reputacional)",O115)</f>
        <v xml:space="preserve">     El riesgo afecta la imagen de la entidad internamente, de conocimiento general, nivel interno, de junta directiva y accionistas y/o de proveedores</v>
      </c>
      <c r="Q115" s="453" t="s">
        <v>8</v>
      </c>
      <c r="R115" s="452">
        <v>0.6</v>
      </c>
      <c r="S115" s="454" t="s">
        <v>8</v>
      </c>
      <c r="T115" s="457">
        <v>1</v>
      </c>
      <c r="U115" s="477" t="s">
        <v>566</v>
      </c>
      <c r="V115" s="457" t="str">
        <f t="shared" si="49"/>
        <v>Probabilidad</v>
      </c>
      <c r="W115" s="458" t="s">
        <v>228</v>
      </c>
      <c r="X115" s="458" t="s">
        <v>188</v>
      </c>
      <c r="Y115" s="459" t="str">
        <f t="shared" si="38"/>
        <v>30%</v>
      </c>
      <c r="Z115" s="458" t="s">
        <v>222</v>
      </c>
      <c r="AA115" s="458" t="s">
        <v>190</v>
      </c>
      <c r="AB115" s="458" t="s">
        <v>191</v>
      </c>
      <c r="AC115" s="460">
        <f>IFERROR(IF(AND(V114="Probabilidad",V115="Probabilidad"),(AE114-(+AE114*Y115)),IF(AND(V114="Impacto",V115="Probabilidad"),(AE113-(+AE113*Y115)),IF(V115="Impacto",AE114,""))),"")</f>
        <v>2.1772799999999995E-2</v>
      </c>
      <c r="AD115" s="461" t="str">
        <f t="shared" si="39"/>
        <v>Muy Baja</v>
      </c>
      <c r="AE115" s="462">
        <f t="shared" si="40"/>
        <v>2.1772799999999995E-2</v>
      </c>
      <c r="AF115" s="461" t="str">
        <f t="shared" si="41"/>
        <v>Moderado</v>
      </c>
      <c r="AG115" s="462">
        <f>IFERROR(IF(AND(V114="Impacto",V115="Impacto"),(AG114-(+AG114*Y115)),IF(AND(V114="Probabilidad",V115="Impacto"),(AG113-(+AG113*Y115)),IF(V115="Probabilidad",AG114,""))),"")</f>
        <v>0.6</v>
      </c>
      <c r="AH115" s="463" t="str">
        <f t="shared" si="42"/>
        <v>Moderado</v>
      </c>
      <c r="AI115" s="464" t="s">
        <v>192</v>
      </c>
      <c r="AJ115" s="465"/>
      <c r="AK115" s="209"/>
      <c r="AL115" s="465"/>
      <c r="AM115" s="466"/>
      <c r="AN115" s="468"/>
    </row>
    <row r="116" spans="1:40" ht="409.5" x14ac:dyDescent="0.2">
      <c r="A116" s="578">
        <v>49</v>
      </c>
      <c r="B116" s="578" t="s">
        <v>560</v>
      </c>
      <c r="C116" s="579" t="s">
        <v>561</v>
      </c>
      <c r="D116" s="447" t="str">
        <f>IFERROR(INDEX('Base de datos gestión'!$D$28:$D$50,MATCH(C116,'Base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16" s="447" t="str">
        <f>IFERROR(INDEX('Base de datos gestión'!$E$28:$E$50,MATCH(C116,'Base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16" s="474" t="s">
        <v>234</v>
      </c>
      <c r="G116" s="576" t="s">
        <v>562</v>
      </c>
      <c r="H116" s="577" t="s">
        <v>563</v>
      </c>
      <c r="I116" s="577" t="s">
        <v>564</v>
      </c>
      <c r="J116" s="476" t="s">
        <v>238</v>
      </c>
      <c r="K116" s="476" t="s">
        <v>183</v>
      </c>
      <c r="L116" s="476">
        <v>20</v>
      </c>
      <c r="M116" s="450" t="str">
        <f t="shared" si="56"/>
        <v>Baja</v>
      </c>
      <c r="N116" s="451">
        <f t="shared" si="51"/>
        <v>0.4</v>
      </c>
      <c r="O116" s="452" t="s">
        <v>207</v>
      </c>
      <c r="P116" s="451" t="str">
        <f>IF(NOT(ISERROR(MATCH(O116,'Tabla Impacto'!$B$222:$B$224,0))),'Tabla Impacto'!$F$224&amp;"Por favor no seleccionar los criterios de impacto(Afectación Económica o presupuestal y Pérdida Reputacional)",O116)</f>
        <v xml:space="preserve">     El riesgo afecta la imagen de la entidad internamente, de conocimiento general, nivel interno, de junta directiva y accionistas y/o de proveedores</v>
      </c>
      <c r="Q116" s="453" t="s">
        <v>8</v>
      </c>
      <c r="R116" s="452">
        <v>0.6</v>
      </c>
      <c r="S116" s="454" t="s">
        <v>8</v>
      </c>
      <c r="T116" s="457">
        <v>2</v>
      </c>
      <c r="U116" s="477" t="s">
        <v>567</v>
      </c>
      <c r="V116" s="457" t="str">
        <f t="shared" si="49"/>
        <v>Probabilidad</v>
      </c>
      <c r="W116" s="458" t="s">
        <v>228</v>
      </c>
      <c r="X116" s="458" t="s">
        <v>188</v>
      </c>
      <c r="Y116" s="459" t="str">
        <f t="shared" si="38"/>
        <v>30%</v>
      </c>
      <c r="Z116" s="458" t="s">
        <v>222</v>
      </c>
      <c r="AA116" s="458" t="s">
        <v>190</v>
      </c>
      <c r="AB116" s="458" t="s">
        <v>191</v>
      </c>
      <c r="AC116" s="460">
        <f>IFERROR(IF(V116="Probabilidad",(N116-(+N116*Y116)),IF(V116="Impacto",N116,"")),"")</f>
        <v>0.28000000000000003</v>
      </c>
      <c r="AD116" s="461" t="str">
        <f t="shared" si="39"/>
        <v>Baja</v>
      </c>
      <c r="AE116" s="462">
        <f t="shared" si="40"/>
        <v>0.28000000000000003</v>
      </c>
      <c r="AF116" s="461" t="str">
        <f t="shared" si="41"/>
        <v>Moderado</v>
      </c>
      <c r="AG116" s="462">
        <f>IFERROR(IF(V116="Impacto",(R116-(+R116*Y116)),IF(V116="Probabilidad",R116,"")),"")</f>
        <v>0.6</v>
      </c>
      <c r="AH116" s="463" t="str">
        <f t="shared" si="42"/>
        <v>Moderado</v>
      </c>
      <c r="AI116" s="464" t="s">
        <v>192</v>
      </c>
      <c r="AJ116" s="465"/>
      <c r="AK116" s="209"/>
      <c r="AL116" s="465"/>
      <c r="AM116" s="466"/>
      <c r="AN116" s="468"/>
    </row>
    <row r="117" spans="1:40" ht="409.5" x14ac:dyDescent="0.2">
      <c r="A117" s="541">
        <v>49</v>
      </c>
      <c r="B117" s="541" t="s">
        <v>560</v>
      </c>
      <c r="C117" s="580" t="s">
        <v>561</v>
      </c>
      <c r="D117" s="447" t="str">
        <f>IFERROR(INDEX('Base de datos gestión'!$D$28:$D$50,MATCH(C117,'Base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17" s="447" t="str">
        <f>IFERROR(INDEX('Base de datos gestión'!$E$28:$E$50,MATCH(C117,'Base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17" s="474" t="s">
        <v>234</v>
      </c>
      <c r="G117" s="576" t="s">
        <v>562</v>
      </c>
      <c r="H117" s="577" t="s">
        <v>563</v>
      </c>
      <c r="I117" s="577" t="s">
        <v>564</v>
      </c>
      <c r="J117" s="476" t="s">
        <v>238</v>
      </c>
      <c r="K117" s="476" t="s">
        <v>183</v>
      </c>
      <c r="L117" s="476">
        <v>20</v>
      </c>
      <c r="M117" s="450" t="str">
        <f t="shared" si="56"/>
        <v>Baja</v>
      </c>
      <c r="N117" s="451">
        <f t="shared" si="51"/>
        <v>0.4</v>
      </c>
      <c r="O117" s="452" t="s">
        <v>207</v>
      </c>
      <c r="P117" s="451" t="str">
        <f>IF(NOT(ISERROR(MATCH(O117,'Tabla Impacto'!$B$222:$B$224,0))),'Tabla Impacto'!$F$224&amp;"Por favor no seleccionar los criterios de impacto(Afectación Económica o presupuestal y Pérdida Reputacional)",O117)</f>
        <v xml:space="preserve">     El riesgo afecta la imagen de la entidad internamente, de conocimiento general, nivel interno, de junta directiva y accionistas y/o de proveedores</v>
      </c>
      <c r="Q117" s="453" t="s">
        <v>8</v>
      </c>
      <c r="R117" s="452">
        <v>0.6</v>
      </c>
      <c r="S117" s="454" t="s">
        <v>8</v>
      </c>
      <c r="T117" s="457">
        <v>3</v>
      </c>
      <c r="U117" s="477" t="s">
        <v>568</v>
      </c>
      <c r="V117" s="457" t="str">
        <f t="shared" si="49"/>
        <v>Probabilidad</v>
      </c>
      <c r="W117" s="458" t="s">
        <v>187</v>
      </c>
      <c r="X117" s="458" t="s">
        <v>188</v>
      </c>
      <c r="Y117" s="459" t="str">
        <f t="shared" si="38"/>
        <v>40%</v>
      </c>
      <c r="Z117" s="458" t="s">
        <v>222</v>
      </c>
      <c r="AA117" s="458" t="s">
        <v>190</v>
      </c>
      <c r="AB117" s="458" t="s">
        <v>191</v>
      </c>
      <c r="AC117" s="460">
        <f>IFERROR(IF(AND(V116="Probabilidad",V117="Probabilidad"),(AE116-(+AE116*Y117)),IF(V117="Probabilidad",(N116-(+N116*Y117)),IF(V117="Impacto",AE116,""))),"")</f>
        <v>0.16800000000000001</v>
      </c>
      <c r="AD117" s="461" t="str">
        <f t="shared" si="39"/>
        <v>Muy Baja</v>
      </c>
      <c r="AE117" s="462">
        <f t="shared" si="40"/>
        <v>0.16800000000000001</v>
      </c>
      <c r="AF117" s="461" t="str">
        <f t="shared" si="41"/>
        <v>Moderado</v>
      </c>
      <c r="AG117" s="462">
        <f>IFERROR(IF(AND(V116="Impacto",V117="Impacto"),(AG110-(+AG110*Y117)),IF(V117="Impacto",($R$56-(+$R$56*Y117)),IF(V117="Probabilidad",AG110,""))),"")</f>
        <v>0.6</v>
      </c>
      <c r="AH117" s="463" t="str">
        <f t="shared" si="42"/>
        <v>Moderado</v>
      </c>
      <c r="AI117" s="464" t="s">
        <v>192</v>
      </c>
      <c r="AJ117" s="465"/>
      <c r="AK117" s="209"/>
      <c r="AL117" s="465"/>
      <c r="AM117" s="466"/>
      <c r="AN117" s="468"/>
    </row>
    <row r="118" spans="1:40" ht="409.5" x14ac:dyDescent="0.2">
      <c r="A118" s="541">
        <v>50</v>
      </c>
      <c r="B118" s="541" t="s">
        <v>569</v>
      </c>
      <c r="C118" s="580" t="s">
        <v>561</v>
      </c>
      <c r="D118" s="447" t="str">
        <f>IFERROR(INDEX('Base de datos gestión'!$D$28:$D$50,MATCH(C118,'Base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18" s="447" t="str">
        <f>IFERROR(INDEX('Base de datos gestión'!$E$28:$E$50,MATCH(C118,'Base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18" s="474" t="s">
        <v>178</v>
      </c>
      <c r="G118" s="576" t="s">
        <v>570</v>
      </c>
      <c r="H118" s="577" t="s">
        <v>571</v>
      </c>
      <c r="I118" s="577" t="s">
        <v>572</v>
      </c>
      <c r="J118" s="476" t="s">
        <v>238</v>
      </c>
      <c r="K118" s="476" t="s">
        <v>258</v>
      </c>
      <c r="L118" s="476">
        <v>20</v>
      </c>
      <c r="M118" s="450" t="str">
        <f t="shared" si="56"/>
        <v>Baja</v>
      </c>
      <c r="N118" s="451">
        <f t="shared" si="51"/>
        <v>0.4</v>
      </c>
      <c r="O118" s="452" t="s">
        <v>214</v>
      </c>
      <c r="P118" s="451" t="str">
        <f>IF(NOT(ISERROR(MATCH(O118,'Tabla Impacto'!$B$222:$B$224,0))),'Tabla Impacto'!$F$224&amp;"Por favor no seleccionar los criterios de impacto(Afectación Económica o presupuestal y Pérdida Reputacional)",O118)</f>
        <v xml:space="preserve">     El riesgo afecta la imagen de la entidad con algunos usuarios de relevancia frente al logro de los objetivos</v>
      </c>
      <c r="Q118" s="453" t="str">
        <f>IF(OR(P118='[1]Tabla Impacto'!$C$12,P118='[1]Tabla Impacto'!$D$12),"Leve",IF(OR(P118='[1]Tabla Impacto'!$C$13,P118='[1]Tabla Impacto'!$D$13),"Menor",IF(OR(P118='[1]Tabla Impacto'!$C$14,P118='[1]Tabla Impacto'!$D$14),"Moderado",IF(OR(P118='[1]Tabla Impacto'!$C$15,P118='[1]Tabla Impacto'!$D$15),"Mayor",IF(OR(P118='[1]Tabla Impacto'!$C$16,P118='[1]Tabla Impacto'!$D$16),"Catastrófico","")))))</f>
        <v>Moderado</v>
      </c>
      <c r="R118" s="452">
        <f t="shared" si="54"/>
        <v>0.6</v>
      </c>
      <c r="S118" s="454" t="str">
        <f t="shared" si="55"/>
        <v>Moderado</v>
      </c>
      <c r="T118" s="457">
        <v>1</v>
      </c>
      <c r="U118" s="477" t="s">
        <v>573</v>
      </c>
      <c r="V118" s="457" t="str">
        <f t="shared" si="49"/>
        <v>Probabilidad</v>
      </c>
      <c r="W118" s="458" t="s">
        <v>187</v>
      </c>
      <c r="X118" s="458" t="s">
        <v>188</v>
      </c>
      <c r="Y118" s="459" t="str">
        <f t="shared" si="38"/>
        <v>40%</v>
      </c>
      <c r="Z118" s="458" t="s">
        <v>222</v>
      </c>
      <c r="AA118" s="458" t="s">
        <v>190</v>
      </c>
      <c r="AB118" s="458" t="s">
        <v>191</v>
      </c>
      <c r="AC118" s="460">
        <f>IFERROR(IF(AND(V117="Probabilidad",V118="Probabilidad"),(AE117-(+AE117*Y118)),IF(AND(V117="Impacto",V118="Probabilidad"),(AE116-(+AE116*Y118)),IF(V118="Impacto",AE117,""))),"")</f>
        <v>0.1008</v>
      </c>
      <c r="AD118" s="461" t="str">
        <f t="shared" si="39"/>
        <v>Muy Baja</v>
      </c>
      <c r="AE118" s="462">
        <f t="shared" si="40"/>
        <v>0.1008</v>
      </c>
      <c r="AF118" s="461" t="str">
        <f t="shared" si="41"/>
        <v>Moderado</v>
      </c>
      <c r="AG118" s="462">
        <f>IFERROR(IF(AND(V117="Impacto",V118="Impacto"),(AG117-(+AG117*Y118)),IF(AND(V117="Probabilidad",V118="Impacto"),(AG116-(+AG116*Y118)),IF(V118="Probabilidad",AG117,""))),"")</f>
        <v>0.6</v>
      </c>
      <c r="AH118" s="463" t="str">
        <f t="shared" si="42"/>
        <v>Moderado</v>
      </c>
      <c r="AI118" s="464" t="s">
        <v>192</v>
      </c>
      <c r="AJ118" s="465"/>
      <c r="AK118" s="209"/>
      <c r="AL118" s="465"/>
      <c r="AM118" s="466"/>
      <c r="AN118" s="468"/>
    </row>
    <row r="119" spans="1:40" ht="409.5" x14ac:dyDescent="0.2">
      <c r="A119" s="541">
        <v>50</v>
      </c>
      <c r="B119" s="541" t="s">
        <v>569</v>
      </c>
      <c r="C119" s="580" t="s">
        <v>561</v>
      </c>
      <c r="D119" s="447" t="str">
        <f>IFERROR(INDEX('Base de datos gestión'!$D$28:$D$50,MATCH(C119,'Base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19" s="447" t="str">
        <f>IFERROR(INDEX('Base de datos gestión'!$E$28:$E$50,MATCH(C119,'Base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19" s="474" t="s">
        <v>178</v>
      </c>
      <c r="G119" s="576" t="s">
        <v>570</v>
      </c>
      <c r="H119" s="577" t="s">
        <v>571</v>
      </c>
      <c r="I119" s="577" t="s">
        <v>572</v>
      </c>
      <c r="J119" s="476" t="s">
        <v>238</v>
      </c>
      <c r="K119" s="476" t="s">
        <v>258</v>
      </c>
      <c r="L119" s="476">
        <v>20</v>
      </c>
      <c r="M119" s="450" t="str">
        <f t="shared" si="56"/>
        <v>Baja</v>
      </c>
      <c r="N119" s="451">
        <f t="shared" si="51"/>
        <v>0.4</v>
      </c>
      <c r="O119" s="452" t="s">
        <v>214</v>
      </c>
      <c r="P119" s="451" t="str">
        <f>IF(NOT(ISERROR(MATCH(O119,'Tabla Impacto'!$B$222:$B$224,0))),'Tabla Impacto'!$F$224&amp;"Por favor no seleccionar los criterios de impacto(Afectación Económica o presupuestal y Pérdida Reputacional)",O119)</f>
        <v xml:space="preserve">     El riesgo afecta la imagen de la entidad con algunos usuarios de relevancia frente al logro de los objetivos</v>
      </c>
      <c r="Q119" s="453" t="str">
        <f>IF(OR(P119='[1]Tabla Impacto'!$C$12,P119='[1]Tabla Impacto'!$D$12),"Leve",IF(OR(P119='[1]Tabla Impacto'!$C$13,P119='[1]Tabla Impacto'!$D$13),"Menor",IF(OR(P119='[1]Tabla Impacto'!$C$14,P119='[1]Tabla Impacto'!$D$14),"Moderado",IF(OR(P119='[1]Tabla Impacto'!$C$15,P119='[1]Tabla Impacto'!$D$15),"Mayor",IF(OR(P119='[1]Tabla Impacto'!$C$16,P119='[1]Tabla Impacto'!$D$16),"Catastrófico","")))))</f>
        <v>Moderado</v>
      </c>
      <c r="R119" s="452">
        <f t="shared" si="54"/>
        <v>0.6</v>
      </c>
      <c r="S119" s="454" t="str">
        <f t="shared" si="55"/>
        <v>Moderado</v>
      </c>
      <c r="T119" s="457">
        <v>2</v>
      </c>
      <c r="U119" s="477" t="s">
        <v>574</v>
      </c>
      <c r="V119" s="457" t="str">
        <f t="shared" si="49"/>
        <v>Probabilidad</v>
      </c>
      <c r="W119" s="458" t="s">
        <v>187</v>
      </c>
      <c r="X119" s="458" t="s">
        <v>188</v>
      </c>
      <c r="Y119" s="459" t="str">
        <f t="shared" si="38"/>
        <v>40%</v>
      </c>
      <c r="Z119" s="458" t="s">
        <v>222</v>
      </c>
      <c r="AA119" s="458" t="s">
        <v>202</v>
      </c>
      <c r="AB119" s="458" t="s">
        <v>191</v>
      </c>
      <c r="AC119" s="460">
        <f>IFERROR(IF(AND(V118="Probabilidad",V119="Probabilidad"),(AE118-(+AE118*Y119)),IF(AND(V118="Impacto",V119="Probabilidad"),(AE117-(+AE117*Y119)),IF(V119="Impacto",AE118,""))),"")</f>
        <v>6.0479999999999999E-2</v>
      </c>
      <c r="AD119" s="461" t="str">
        <f t="shared" si="39"/>
        <v>Muy Baja</v>
      </c>
      <c r="AE119" s="462">
        <f t="shared" si="40"/>
        <v>6.0479999999999999E-2</v>
      </c>
      <c r="AF119" s="461" t="str">
        <f t="shared" si="41"/>
        <v>Moderado</v>
      </c>
      <c r="AG119" s="462">
        <f>IFERROR(IF(AND(V118="Impacto",V119="Impacto"),(AG118-(+AG118*Y119)),IF(AND(V118="Probabilidad",V119="Impacto"),(AG117-(+AG117*Y119)),IF(V119="Probabilidad",AG118,""))),"")</f>
        <v>0.6</v>
      </c>
      <c r="AH119" s="463" t="str">
        <f t="shared" si="42"/>
        <v>Moderado</v>
      </c>
      <c r="AI119" s="464" t="s">
        <v>192</v>
      </c>
      <c r="AJ119" s="465"/>
      <c r="AK119" s="209"/>
      <c r="AL119" s="465"/>
      <c r="AM119" s="466"/>
      <c r="AN119" s="468"/>
    </row>
    <row r="120" spans="1:40" ht="409.5" x14ac:dyDescent="0.2">
      <c r="A120" s="541">
        <v>51</v>
      </c>
      <c r="B120" s="541" t="s">
        <v>575</v>
      </c>
      <c r="C120" s="580" t="s">
        <v>561</v>
      </c>
      <c r="D120" s="447" t="str">
        <f>IFERROR(INDEX('Base de datos gestión'!$D$28:$D$50,MATCH(C120,'Base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20" s="447" t="str">
        <f>IFERROR(INDEX('Base de datos gestión'!$E$28:$E$50,MATCH(C120,'Base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20" s="474" t="s">
        <v>178</v>
      </c>
      <c r="G120" s="581" t="s">
        <v>576</v>
      </c>
      <c r="H120" s="577" t="s">
        <v>577</v>
      </c>
      <c r="I120" s="577" t="s">
        <v>578</v>
      </c>
      <c r="J120" s="476" t="s">
        <v>238</v>
      </c>
      <c r="K120" s="476" t="s">
        <v>380</v>
      </c>
      <c r="L120" s="476">
        <v>8000</v>
      </c>
      <c r="M120" s="450" t="str">
        <f t="shared" si="56"/>
        <v>Muy Alta</v>
      </c>
      <c r="N120" s="451">
        <f t="shared" si="51"/>
        <v>1</v>
      </c>
      <c r="O120" s="452" t="s">
        <v>207</v>
      </c>
      <c r="P120" s="451" t="str">
        <f>IF(NOT(ISERROR(MATCH(O120,'Tabla Impacto'!$B$222:$B$224,0))),'Tabla Impacto'!$F$224&amp;"Por favor no seleccionar los criterios de impacto(Afectación Económica o presupuestal y Pérdida Reputacional)",O120)</f>
        <v xml:space="preserve">     El riesgo afecta la imagen de la entidad internamente, de conocimiento general, nivel interno, de junta directiva y accionistas y/o de proveedores</v>
      </c>
      <c r="Q120" s="453" t="s">
        <v>8</v>
      </c>
      <c r="R120" s="452">
        <v>0.6</v>
      </c>
      <c r="S120" s="454" t="s">
        <v>8</v>
      </c>
      <c r="T120" s="457">
        <v>1</v>
      </c>
      <c r="U120" s="477" t="s">
        <v>579</v>
      </c>
      <c r="V120" s="457" t="str">
        <f t="shared" si="49"/>
        <v>Probabilidad</v>
      </c>
      <c r="W120" s="458" t="s">
        <v>187</v>
      </c>
      <c r="X120" s="458" t="s">
        <v>188</v>
      </c>
      <c r="Y120" s="459" t="str">
        <f t="shared" si="38"/>
        <v>40%</v>
      </c>
      <c r="Z120" s="458" t="s">
        <v>222</v>
      </c>
      <c r="AA120" s="458" t="s">
        <v>190</v>
      </c>
      <c r="AB120" s="458" t="s">
        <v>191</v>
      </c>
      <c r="AC120" s="460">
        <f>IFERROR(IF(AND(V119="Probabilidad",V120="Probabilidad"),(AE119-(+AE119*Y120)),IF(AND(V119="Impacto",V120="Probabilidad"),(AE118-(+AE118*Y120)),IF(V120="Impacto",AE119,""))),"")</f>
        <v>3.6288000000000001E-2</v>
      </c>
      <c r="AD120" s="461" t="str">
        <f t="shared" si="39"/>
        <v>Muy Baja</v>
      </c>
      <c r="AE120" s="462">
        <f t="shared" si="40"/>
        <v>3.6288000000000001E-2</v>
      </c>
      <c r="AF120" s="461" t="str">
        <f t="shared" si="41"/>
        <v>Moderado</v>
      </c>
      <c r="AG120" s="462">
        <f>IFERROR(IF(AND(V119="Impacto",V120="Impacto"),(AG119-(+AG119*Y120)),IF(AND(V119="Probabilidad",V120="Impacto"),(AG118-(+AG118*Y120)),IF(V120="Probabilidad",AG119,""))),"")</f>
        <v>0.6</v>
      </c>
      <c r="AH120" s="463" t="str">
        <f t="shared" si="42"/>
        <v>Moderado</v>
      </c>
      <c r="AI120" s="464" t="s">
        <v>192</v>
      </c>
      <c r="AJ120" s="465"/>
      <c r="AK120" s="209"/>
      <c r="AL120" s="465"/>
      <c r="AM120" s="466"/>
      <c r="AN120" s="468"/>
    </row>
    <row r="121" spans="1:40" ht="409.5" x14ac:dyDescent="0.2">
      <c r="A121" s="540">
        <v>51</v>
      </c>
      <c r="B121" s="540" t="s">
        <v>575</v>
      </c>
      <c r="C121" s="575" t="s">
        <v>561</v>
      </c>
      <c r="D121" s="447" t="str">
        <f>IFERROR(INDEX('Base de datos gestión'!$D$28:$D$50,MATCH(C121,'Base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21" s="447" t="str">
        <f>IFERROR(INDEX('Base de datos gestión'!$E$28:$E$50,MATCH(C121,'Base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21" s="474" t="s">
        <v>178</v>
      </c>
      <c r="G121" s="576" t="s">
        <v>576</v>
      </c>
      <c r="H121" s="577" t="s">
        <v>577</v>
      </c>
      <c r="I121" s="577" t="s">
        <v>578</v>
      </c>
      <c r="J121" s="476" t="s">
        <v>238</v>
      </c>
      <c r="K121" s="476" t="s">
        <v>380</v>
      </c>
      <c r="L121" s="476">
        <v>8000</v>
      </c>
      <c r="M121" s="450" t="str">
        <f t="shared" si="56"/>
        <v>Muy Alta</v>
      </c>
      <c r="N121" s="451">
        <f t="shared" si="51"/>
        <v>1</v>
      </c>
      <c r="O121" s="452" t="s">
        <v>207</v>
      </c>
      <c r="P121" s="451" t="str">
        <f>IF(NOT(ISERROR(MATCH(O121,'Tabla Impacto'!$B$222:$B$224,0))),'Tabla Impacto'!$F$224&amp;"Por favor no seleccionar los criterios de impacto(Afectación Económica o presupuestal y Pérdida Reputacional)",O121)</f>
        <v xml:space="preserve">     El riesgo afecta la imagen de la entidad internamente, de conocimiento general, nivel interno, de junta directiva y accionistas y/o de proveedores</v>
      </c>
      <c r="Q121" s="453" t="s">
        <v>8</v>
      </c>
      <c r="R121" s="452">
        <v>0.6</v>
      </c>
      <c r="S121" s="454" t="s">
        <v>8</v>
      </c>
      <c r="T121" s="457">
        <v>2</v>
      </c>
      <c r="U121" s="477" t="s">
        <v>580</v>
      </c>
      <c r="V121" s="457" t="str">
        <f t="shared" si="49"/>
        <v>Probabilidad</v>
      </c>
      <c r="W121" s="458" t="s">
        <v>228</v>
      </c>
      <c r="X121" s="458" t="s">
        <v>188</v>
      </c>
      <c r="Y121" s="459" t="str">
        <f t="shared" si="38"/>
        <v>30%</v>
      </c>
      <c r="Z121" s="458" t="s">
        <v>222</v>
      </c>
      <c r="AA121" s="458" t="s">
        <v>190</v>
      </c>
      <c r="AB121" s="458" t="s">
        <v>191</v>
      </c>
      <c r="AC121" s="460">
        <f>IFERROR(IF(AND(V120="Probabilidad",V121="Probabilidad"),(AE120-(+AE120*Y121)),IF(AND(V120="Impacto",V121="Probabilidad"),(AE119-(+AE119*Y121)),IF(V121="Impacto",AE120,""))),"")</f>
        <v>2.5401600000000003E-2</v>
      </c>
      <c r="AD121" s="461" t="str">
        <f t="shared" si="39"/>
        <v>Muy Baja</v>
      </c>
      <c r="AE121" s="462">
        <f t="shared" si="40"/>
        <v>2.5401600000000003E-2</v>
      </c>
      <c r="AF121" s="461" t="str">
        <f t="shared" si="41"/>
        <v>Moderado</v>
      </c>
      <c r="AG121" s="462">
        <f>IFERROR(IF(AND(V120="Impacto",V121="Impacto"),(AG120-(+AG120*Y121)),IF(AND(V120="Probabilidad",V121="Impacto"),(AG119-(+AG119*Y121)),IF(V121="Probabilidad",AG120,""))),"")</f>
        <v>0.6</v>
      </c>
      <c r="AH121" s="463" t="str">
        <f t="shared" si="42"/>
        <v>Moderado</v>
      </c>
      <c r="AI121" s="464" t="s">
        <v>192</v>
      </c>
      <c r="AJ121" s="465"/>
      <c r="AK121" s="209"/>
      <c r="AL121" s="465"/>
      <c r="AM121" s="466"/>
      <c r="AN121" s="468"/>
    </row>
    <row r="122" spans="1:40" ht="409.5" x14ac:dyDescent="0.2">
      <c r="A122" s="578">
        <v>52</v>
      </c>
      <c r="B122" s="578" t="s">
        <v>581</v>
      </c>
      <c r="C122" s="579" t="s">
        <v>561</v>
      </c>
      <c r="D122" s="447" t="str">
        <f>IFERROR(INDEX('Base de datos gestión'!$D$28:$D$50,MATCH(C122,'Base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22" s="447" t="str">
        <f>IFERROR(INDEX('Base de datos gestión'!$E$28:$E$50,MATCH(C122,'Base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22" s="476" t="s">
        <v>234</v>
      </c>
      <c r="G122" s="576" t="s">
        <v>582</v>
      </c>
      <c r="H122" s="582" t="s">
        <v>583</v>
      </c>
      <c r="I122" s="582" t="s">
        <v>584</v>
      </c>
      <c r="J122" s="476" t="s">
        <v>238</v>
      </c>
      <c r="K122" s="476" t="s">
        <v>258</v>
      </c>
      <c r="L122" s="476">
        <v>20</v>
      </c>
      <c r="M122" s="450" t="str">
        <f t="shared" si="56"/>
        <v>Baja</v>
      </c>
      <c r="N122" s="451">
        <f t="shared" si="51"/>
        <v>0.4</v>
      </c>
      <c r="O122" s="452" t="s">
        <v>239</v>
      </c>
      <c r="P122" s="451" t="str">
        <f>IF(NOT(ISERROR(MATCH(O122,'Tabla Impacto'!$B$222:$B$224,0))),'Tabla Impacto'!$F$224&amp;"Por favor no seleccionar los criterios de impacto(Afectación Económica o presupuestal y Pérdida Reputacional)",O122)</f>
        <v xml:space="preserve">     El riesgo afecta la imagen de de la entidad con efecto publicitario sostenido a nivel de sector administrativo, nivel departamental o municipal</v>
      </c>
      <c r="Q122" s="453" t="str">
        <f>IF(OR(P122='[1]Tabla Impacto'!$C$12,P122='[1]Tabla Impacto'!$D$12),"Leve",IF(OR(P122='[1]Tabla Impacto'!$C$13,P122='[1]Tabla Impacto'!$D$13),"Menor",IF(OR(P122='[1]Tabla Impacto'!$C$14,P122='[1]Tabla Impacto'!$D$14),"Moderado",IF(OR(P122='[1]Tabla Impacto'!$C$15,P122='[1]Tabla Impacto'!$D$15),"Mayor",IF(OR(P122='[1]Tabla Impacto'!$C$16,P122='[1]Tabla Impacto'!$D$16),"Catastrófico","")))))</f>
        <v>Mayor</v>
      </c>
      <c r="R122" s="452">
        <f t="shared" si="54"/>
        <v>0.8</v>
      </c>
      <c r="S122" s="454" t="str">
        <f t="shared" si="55"/>
        <v>Alto</v>
      </c>
      <c r="T122" s="457">
        <v>1</v>
      </c>
      <c r="U122" s="477" t="s">
        <v>585</v>
      </c>
      <c r="V122" s="457" t="str">
        <f t="shared" si="49"/>
        <v>Probabilidad</v>
      </c>
      <c r="W122" s="458" t="s">
        <v>187</v>
      </c>
      <c r="X122" s="458" t="s">
        <v>188</v>
      </c>
      <c r="Y122" s="459" t="str">
        <f t="shared" si="38"/>
        <v>40%</v>
      </c>
      <c r="Z122" s="458" t="s">
        <v>222</v>
      </c>
      <c r="AA122" s="458" t="s">
        <v>190</v>
      </c>
      <c r="AB122" s="458" t="s">
        <v>191</v>
      </c>
      <c r="AC122" s="460">
        <f>IFERROR(IF(V122="Probabilidad",(N122-(+N122*Y122)),IF(V122="Impacto",N122,"")),"")</f>
        <v>0.24</v>
      </c>
      <c r="AD122" s="461" t="str">
        <f t="shared" si="39"/>
        <v>Baja</v>
      </c>
      <c r="AE122" s="462">
        <f t="shared" si="40"/>
        <v>0.24</v>
      </c>
      <c r="AF122" s="461" t="str">
        <f t="shared" si="41"/>
        <v>Mayor</v>
      </c>
      <c r="AG122" s="462">
        <f>IFERROR(IF(V122="Impacto",(R122-(+R122*Y122)),IF(V122="Probabilidad",R122,"")),"")</f>
        <v>0.8</v>
      </c>
      <c r="AH122" s="463" t="str">
        <f t="shared" si="42"/>
        <v>Alto</v>
      </c>
      <c r="AI122" s="464" t="s">
        <v>192</v>
      </c>
      <c r="AJ122" s="465"/>
      <c r="AK122" s="209"/>
      <c r="AL122" s="465"/>
      <c r="AM122" s="466"/>
      <c r="AN122" s="468"/>
    </row>
    <row r="123" spans="1:40" ht="409.5" x14ac:dyDescent="0.2">
      <c r="A123" s="541">
        <v>53</v>
      </c>
      <c r="B123" s="541" t="s">
        <v>586</v>
      </c>
      <c r="C123" s="580" t="s">
        <v>561</v>
      </c>
      <c r="D123" s="447" t="str">
        <f>IFERROR(INDEX('Base de datos gestión'!$D$28:$D$50,MATCH(C123,'Base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23" s="447" t="str">
        <f>IFERROR(INDEX('Base de datos gestión'!$E$28:$E$50,MATCH(C123,'Base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23" s="474" t="s">
        <v>178</v>
      </c>
      <c r="G123" s="576" t="s">
        <v>587</v>
      </c>
      <c r="H123" s="577" t="s">
        <v>588</v>
      </c>
      <c r="I123" s="577" t="s">
        <v>589</v>
      </c>
      <c r="J123" s="476" t="s">
        <v>238</v>
      </c>
      <c r="K123" s="476" t="s">
        <v>258</v>
      </c>
      <c r="L123" s="476">
        <v>20</v>
      </c>
      <c r="M123" s="450" t="str">
        <f t="shared" si="56"/>
        <v>Baja</v>
      </c>
      <c r="N123" s="451">
        <f t="shared" si="51"/>
        <v>0.4</v>
      </c>
      <c r="O123" s="452" t="s">
        <v>214</v>
      </c>
      <c r="P123" s="451" t="str">
        <f>IF(NOT(ISERROR(MATCH(O123,'Tabla Impacto'!$B$222:$B$224,0))),'Tabla Impacto'!$F$224&amp;"Por favor no seleccionar los criterios de impacto(Afectación Económica o presupuestal y Pérdida Reputacional)",O123)</f>
        <v xml:space="preserve">     El riesgo afecta la imagen de la entidad con algunos usuarios de relevancia frente al logro de los objetivos</v>
      </c>
      <c r="Q123" s="453" t="str">
        <f>IF(OR(P123='[1]Tabla Impacto'!$C$12,P123='[1]Tabla Impacto'!$D$12),"Leve",IF(OR(P123='[1]Tabla Impacto'!$C$13,P123='[1]Tabla Impacto'!$D$13),"Menor",IF(OR(P123='[1]Tabla Impacto'!$C$14,P123='[1]Tabla Impacto'!$D$14),"Moderado",IF(OR(P123='[1]Tabla Impacto'!$C$15,P123='[1]Tabla Impacto'!$D$15),"Mayor",IF(OR(P123='[1]Tabla Impacto'!$C$16,P123='[1]Tabla Impacto'!$D$16),"Catastrófico","")))))</f>
        <v>Moderado</v>
      </c>
      <c r="R123" s="452">
        <f t="shared" si="54"/>
        <v>0.6</v>
      </c>
      <c r="S123" s="454" t="str">
        <f t="shared" si="55"/>
        <v>Moderado</v>
      </c>
      <c r="T123" s="457">
        <v>1</v>
      </c>
      <c r="U123" s="477" t="s">
        <v>590</v>
      </c>
      <c r="V123" s="457" t="str">
        <f t="shared" si="49"/>
        <v>Probabilidad</v>
      </c>
      <c r="W123" s="458" t="s">
        <v>228</v>
      </c>
      <c r="X123" s="458" t="s">
        <v>188</v>
      </c>
      <c r="Y123" s="459" t="str">
        <f t="shared" si="38"/>
        <v>30%</v>
      </c>
      <c r="Z123" s="458" t="s">
        <v>222</v>
      </c>
      <c r="AA123" s="458" t="s">
        <v>190</v>
      </c>
      <c r="AB123" s="458" t="s">
        <v>191</v>
      </c>
      <c r="AC123" s="460">
        <f>IFERROR(IF(AND(V122="Probabilidad",V123="Probabilidad"),(AE122-(+AE122*Y123)),IF(V123="Probabilidad",(N122-(+N122*Y123)),IF(V123="Impacto",AE122,""))),"")</f>
        <v>0.16799999999999998</v>
      </c>
      <c r="AD123" s="461" t="str">
        <f t="shared" si="39"/>
        <v>Muy Baja</v>
      </c>
      <c r="AE123" s="462">
        <f t="shared" si="40"/>
        <v>0.16799999999999998</v>
      </c>
      <c r="AF123" s="461" t="str">
        <f t="shared" si="41"/>
        <v>Moderado</v>
      </c>
      <c r="AG123" s="462">
        <f>IFERROR(IF(AND(V122="Impacto",V123="Impacto"),(AG116-(+AG116*Y123)),IF(V123="Impacto",($R$50-(+$R$50*Y123)),IF(V123="Probabilidad",AG116,""))),"")</f>
        <v>0.6</v>
      </c>
      <c r="AH123" s="463" t="str">
        <f t="shared" si="42"/>
        <v>Moderado</v>
      </c>
      <c r="AI123" s="464" t="s">
        <v>192</v>
      </c>
      <c r="AJ123" s="465"/>
      <c r="AK123" s="209"/>
      <c r="AL123" s="465"/>
      <c r="AM123" s="466"/>
      <c r="AN123" s="468"/>
    </row>
    <row r="124" spans="1:40" ht="409.5" x14ac:dyDescent="0.2">
      <c r="A124" s="541">
        <v>53</v>
      </c>
      <c r="B124" s="541" t="s">
        <v>586</v>
      </c>
      <c r="C124" s="580" t="s">
        <v>561</v>
      </c>
      <c r="D124" s="447" t="str">
        <f>IFERROR(INDEX('Base de datos gestión'!$D$28:$D$50,MATCH(C124,'Base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24" s="447" t="str">
        <f>IFERROR(INDEX('Base de datos gestión'!$E$28:$E$50,MATCH(C124,'Base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24" s="474" t="s">
        <v>178</v>
      </c>
      <c r="G124" s="576" t="s">
        <v>587</v>
      </c>
      <c r="H124" s="577" t="s">
        <v>588</v>
      </c>
      <c r="I124" s="577" t="s">
        <v>589</v>
      </c>
      <c r="J124" s="476" t="s">
        <v>238</v>
      </c>
      <c r="K124" s="476" t="s">
        <v>258</v>
      </c>
      <c r="L124" s="476">
        <v>20</v>
      </c>
      <c r="M124" s="450" t="str">
        <f t="shared" si="56"/>
        <v>Baja</v>
      </c>
      <c r="N124" s="451">
        <f t="shared" si="51"/>
        <v>0.4</v>
      </c>
      <c r="O124" s="452" t="s">
        <v>214</v>
      </c>
      <c r="P124" s="451" t="str">
        <f>IF(NOT(ISERROR(MATCH(O124,'Tabla Impacto'!$B$222:$B$224,0))),'Tabla Impacto'!$F$224&amp;"Por favor no seleccionar los criterios de impacto(Afectación Económica o presupuestal y Pérdida Reputacional)",O124)</f>
        <v xml:space="preserve">     El riesgo afecta la imagen de la entidad con algunos usuarios de relevancia frente al logro de los objetivos</v>
      </c>
      <c r="Q124" s="453" t="str">
        <f>IF(OR(P124='[1]Tabla Impacto'!$C$12,P124='[1]Tabla Impacto'!$D$12),"Leve",IF(OR(P124='[1]Tabla Impacto'!$C$13,P124='[1]Tabla Impacto'!$D$13),"Menor",IF(OR(P124='[1]Tabla Impacto'!$C$14,P124='[1]Tabla Impacto'!$D$14),"Moderado",IF(OR(P124='[1]Tabla Impacto'!$C$15,P124='[1]Tabla Impacto'!$D$15),"Mayor",IF(OR(P124='[1]Tabla Impacto'!$C$16,P124='[1]Tabla Impacto'!$D$16),"Catastrófico","")))))</f>
        <v>Moderado</v>
      </c>
      <c r="R124" s="452">
        <f>IF(Q124="","",IF(Q124="Leve",0.2,IF(Q124="Menor",0.4,IF(Q124="Moderado",0.6,IF(Q124="Mayor",0.8,IF(Q124="Catastrófico",1,))))))</f>
        <v>0.6</v>
      </c>
      <c r="S124" s="454" t="str">
        <f>IF(OR(AND(M124="Muy Baja",Q124="Leve"),AND(M124="Muy Baja",Q124="Menor"),AND(M124="Baja",Q124="Leve")),"Bajo",IF(OR(AND(M124="Muy baja",Q124="Moderado"),AND(M124="Baja",Q124="Menor"),AND(M124="Baja",Q124="Moderado"),AND(M124="Media",Q124="Leve"),AND(M124="Media",Q124="Menor"),AND(M124="Media",Q124="Moderado"),AND(M124="Alta",Q124="Leve"),AND(M124="Alta",Q124="Menor")),"Moderado",IF(OR(AND(M124="Muy Baja",Q124="Mayor"),AND(M124="Baja",Q124="Mayor"),AND(M124="Media",Q124="Mayor"),AND(M124="Alta",Q124="Moderado"),AND(M124="Alta",Q124="Mayor"),AND(M124="Muy Alta",Q124="Leve"),AND(M124="Muy Alta",Q124="Menor"),AND(M124="Muy Alta",Q124="Moderado"),AND(M124="Muy Alta",Q124="Mayor")),"Alto",IF(OR(AND(M124="Muy Baja",Q124="Catastrófico"),AND(M124="Baja",Q124="Catastrófico"),AND(M124="Media",Q124="Catastrófico"),AND(M124="Alta",Q124="Catastrófico"),AND(M124="Muy Alta",Q124="Catastrófico")),"Extremo",""))))</f>
        <v>Moderado</v>
      </c>
      <c r="T124" s="457">
        <v>2</v>
      </c>
      <c r="U124" s="477" t="s">
        <v>591</v>
      </c>
      <c r="V124" s="457" t="str">
        <f t="shared" si="49"/>
        <v>Probabilidad</v>
      </c>
      <c r="W124" s="458" t="s">
        <v>228</v>
      </c>
      <c r="X124" s="458" t="s">
        <v>188</v>
      </c>
      <c r="Y124" s="459" t="str">
        <f t="shared" si="38"/>
        <v>30%</v>
      </c>
      <c r="Z124" s="458" t="s">
        <v>222</v>
      </c>
      <c r="AA124" s="458" t="s">
        <v>190</v>
      </c>
      <c r="AB124" s="458" t="s">
        <v>191</v>
      </c>
      <c r="AC124" s="460">
        <f>IFERROR(IF(AND(V123="Probabilidad",V124="Probabilidad"),(AE123-(+AE123*Y124)),IF(AND(V123="Impacto",V124="Probabilidad"),(AE122-(+AE122*Y124)),IF(V124="Impacto",AE123,""))),"")</f>
        <v>0.11759999999999998</v>
      </c>
      <c r="AD124" s="461" t="str">
        <f t="shared" si="39"/>
        <v>Muy Baja</v>
      </c>
      <c r="AE124" s="462">
        <f t="shared" si="40"/>
        <v>0.11759999999999998</v>
      </c>
      <c r="AF124" s="461" t="str">
        <f t="shared" si="41"/>
        <v>Moderado</v>
      </c>
      <c r="AG124" s="462">
        <f>IFERROR(IF(AND(V123="Impacto",V124="Impacto"),(AG123-(+AG123*Y124)),IF(AND(V123="Probabilidad",V124="Impacto"),(AG122-(+AG122*Y124)),IF(V124="Probabilidad",AG123,""))),"")</f>
        <v>0.6</v>
      </c>
      <c r="AH124" s="463" t="str">
        <f t="shared" si="42"/>
        <v>Moderado</v>
      </c>
      <c r="AI124" s="464" t="s">
        <v>192</v>
      </c>
      <c r="AJ124" s="465"/>
      <c r="AK124" s="209"/>
      <c r="AL124" s="465"/>
      <c r="AM124" s="466"/>
      <c r="AN124" s="468"/>
    </row>
    <row r="125" spans="1:40" ht="409.5" x14ac:dyDescent="0.2">
      <c r="A125" s="541">
        <v>53</v>
      </c>
      <c r="B125" s="541" t="s">
        <v>586</v>
      </c>
      <c r="C125" s="580" t="s">
        <v>561</v>
      </c>
      <c r="D125" s="447" t="str">
        <f>IFERROR(INDEX('Base de datos gestión'!$D$28:$D$50,MATCH(C125,'Base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25" s="447" t="str">
        <f>IFERROR(INDEX('Base de datos gestión'!$E$28:$E$50,MATCH(C125,'Base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25" s="474" t="s">
        <v>178</v>
      </c>
      <c r="G125" s="576" t="s">
        <v>587</v>
      </c>
      <c r="H125" s="577" t="s">
        <v>588</v>
      </c>
      <c r="I125" s="577" t="s">
        <v>589</v>
      </c>
      <c r="J125" s="476" t="s">
        <v>238</v>
      </c>
      <c r="K125" s="476" t="s">
        <v>258</v>
      </c>
      <c r="L125" s="476">
        <v>20</v>
      </c>
      <c r="M125" s="450" t="str">
        <f t="shared" si="56"/>
        <v>Baja</v>
      </c>
      <c r="N125" s="451">
        <f t="shared" si="51"/>
        <v>0.4</v>
      </c>
      <c r="O125" s="452" t="s">
        <v>214</v>
      </c>
      <c r="P125" s="451" t="str">
        <f>IF(NOT(ISERROR(MATCH(O125,'Tabla Impacto'!$B$222:$B$224,0))),'Tabla Impacto'!$F$224&amp;"Por favor no seleccionar los criterios de impacto(Afectación Económica o presupuestal y Pérdida Reputacional)",O125)</f>
        <v xml:space="preserve">     El riesgo afecta la imagen de la entidad con algunos usuarios de relevancia frente al logro de los objetivos</v>
      </c>
      <c r="Q125" s="453" t="str">
        <f>IF(OR(P125='[1]Tabla Impacto'!$C$12,P125='[1]Tabla Impacto'!$D$12),"Leve",IF(OR(P125='[1]Tabla Impacto'!$C$13,P125='[1]Tabla Impacto'!$D$13),"Menor",IF(OR(P125='[1]Tabla Impacto'!$C$14,P125='[1]Tabla Impacto'!$D$14),"Moderado",IF(OR(P125='[1]Tabla Impacto'!$C$15,P125='[1]Tabla Impacto'!$D$15),"Mayor",IF(OR(P125='[1]Tabla Impacto'!$C$16,P125='[1]Tabla Impacto'!$D$16),"Catastrófico","")))))</f>
        <v>Moderado</v>
      </c>
      <c r="R125" s="452">
        <f>IF(Q125="","",IF(Q125="Leve",0.2,IF(Q125="Menor",0.4,IF(Q125="Moderado",0.6,IF(Q125="Mayor",0.8,IF(Q125="Catastrófico",1,))))))</f>
        <v>0.6</v>
      </c>
      <c r="S125" s="454" t="str">
        <f>IF(OR(AND(M125="Muy Baja",Q125="Leve"),AND(M125="Muy Baja",Q125="Menor"),AND(M125="Baja",Q125="Leve")),"Bajo",IF(OR(AND(M125="Muy baja",Q125="Moderado"),AND(M125="Baja",Q125="Menor"),AND(M125="Baja",Q125="Moderado"),AND(M125="Media",Q125="Leve"),AND(M125="Media",Q125="Menor"),AND(M125="Media",Q125="Moderado"),AND(M125="Alta",Q125="Leve"),AND(M125="Alta",Q125="Menor")),"Moderado",IF(OR(AND(M125="Muy Baja",Q125="Mayor"),AND(M125="Baja",Q125="Mayor"),AND(M125="Media",Q125="Mayor"),AND(M125="Alta",Q125="Moderado"),AND(M125="Alta",Q125="Mayor"),AND(M125="Muy Alta",Q125="Leve"),AND(M125="Muy Alta",Q125="Menor"),AND(M125="Muy Alta",Q125="Moderado"),AND(M125="Muy Alta",Q125="Mayor")),"Alto",IF(OR(AND(M125="Muy Baja",Q125="Catastrófico"),AND(M125="Baja",Q125="Catastrófico"),AND(M125="Media",Q125="Catastrófico"),AND(M125="Alta",Q125="Catastrófico"),AND(M125="Muy Alta",Q125="Catastrófico")),"Extremo",""))))</f>
        <v>Moderado</v>
      </c>
      <c r="T125" s="457">
        <v>3</v>
      </c>
      <c r="U125" s="477" t="s">
        <v>592</v>
      </c>
      <c r="V125" s="457" t="str">
        <f t="shared" si="49"/>
        <v>Probabilidad</v>
      </c>
      <c r="W125" s="458" t="s">
        <v>187</v>
      </c>
      <c r="X125" s="458" t="s">
        <v>188</v>
      </c>
      <c r="Y125" s="459" t="str">
        <f t="shared" si="38"/>
        <v>40%</v>
      </c>
      <c r="Z125" s="458" t="s">
        <v>222</v>
      </c>
      <c r="AA125" s="458" t="s">
        <v>190</v>
      </c>
      <c r="AB125" s="458" t="s">
        <v>191</v>
      </c>
      <c r="AC125" s="460">
        <f>IFERROR(IF(AND(V124="Probabilidad",V125="Probabilidad"),(AE124-(+AE124*Y125)),IF(AND(V124="Impacto",V125="Probabilidad"),(AE123-(+AE123*Y125)),IF(V125="Impacto",AE124,""))),"")</f>
        <v>7.0559999999999984E-2</v>
      </c>
      <c r="AD125" s="461" t="str">
        <f t="shared" si="39"/>
        <v>Muy Baja</v>
      </c>
      <c r="AE125" s="462">
        <f t="shared" si="40"/>
        <v>7.0559999999999984E-2</v>
      </c>
      <c r="AF125" s="461" t="str">
        <f t="shared" si="41"/>
        <v>Moderado</v>
      </c>
      <c r="AG125" s="462">
        <f>IFERROR(IF(AND(V124="Impacto",V125="Impacto"),(AG124-(+AG124*Y125)),IF(AND(V124="Probabilidad",V125="Impacto"),(AG123-(+AG123*Y125)),IF(V125="Probabilidad",AG124,""))),"")</f>
        <v>0.6</v>
      </c>
      <c r="AH125" s="463" t="str">
        <f t="shared" si="42"/>
        <v>Moderado</v>
      </c>
      <c r="AI125" s="464" t="s">
        <v>192</v>
      </c>
      <c r="AJ125" s="465"/>
      <c r="AK125" s="209"/>
      <c r="AL125" s="465"/>
      <c r="AM125" s="466"/>
      <c r="AN125" s="468"/>
    </row>
    <row r="126" spans="1:40" ht="409.5" x14ac:dyDescent="0.2">
      <c r="A126" s="541">
        <v>54</v>
      </c>
      <c r="B126" s="541" t="s">
        <v>593</v>
      </c>
      <c r="C126" s="580" t="s">
        <v>561</v>
      </c>
      <c r="D126" s="447" t="str">
        <f>IFERROR(INDEX('Base de datos gestión'!$D$28:$D$50,MATCH(C126,'Base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26" s="447" t="str">
        <f>IFERROR(INDEX('Base de datos gestión'!$E$28:$E$50,MATCH(C126,'Base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26" s="474" t="s">
        <v>445</v>
      </c>
      <c r="G126" s="576" t="s">
        <v>594</v>
      </c>
      <c r="H126" s="577" t="s">
        <v>595</v>
      </c>
      <c r="I126" s="577" t="s">
        <v>596</v>
      </c>
      <c r="J126" s="476" t="s">
        <v>238</v>
      </c>
      <c r="K126" s="476" t="s">
        <v>258</v>
      </c>
      <c r="L126" s="476">
        <v>20</v>
      </c>
      <c r="M126" s="450" t="str">
        <f t="shared" si="56"/>
        <v>Baja</v>
      </c>
      <c r="N126" s="451">
        <f t="shared" si="51"/>
        <v>0.4</v>
      </c>
      <c r="O126" s="452" t="s">
        <v>597</v>
      </c>
      <c r="P126" s="451" t="str">
        <f>IF(NOT(ISERROR(MATCH(O126,'Tabla Impacto'!$B$222:$B$224,0))),'Tabla Impacto'!$F$224&amp;"Por favor no seleccionar los criterios de impacto(Afectación Económica o presupuestal y Pérdida Reputacional)",O126)</f>
        <v xml:space="preserve">     Entre 10 y 50 SMLMV </v>
      </c>
      <c r="Q126" s="453" t="str">
        <f>IF(OR(P126='[1]Tabla Impacto'!$C$12,P126='[1]Tabla Impacto'!$D$12),"Leve",IF(OR(P126='[1]Tabla Impacto'!$C$13,P126='[1]Tabla Impacto'!$D$13),"Menor",IF(OR(P126='[1]Tabla Impacto'!$C$14,P126='[1]Tabla Impacto'!$D$14),"Moderado",IF(OR(P126='[1]Tabla Impacto'!$C$15,P126='[1]Tabla Impacto'!$D$15),"Mayor",IF(OR(P126='[1]Tabla Impacto'!$C$16,P126='[1]Tabla Impacto'!$D$16),"Catastrófico","")))))</f>
        <v>Menor</v>
      </c>
      <c r="R126" s="452">
        <f t="shared" ref="R126:R189" si="57">IF(Q126="","",IF(Q126="Leve",0.2,IF(Q126="Menor",0.4,IF(Q126="Moderado",0.6,IF(Q126="Mayor",0.8,IF(Q126="Catastrófico",1,))))))</f>
        <v>0.4</v>
      </c>
      <c r="S126" s="454" t="str">
        <f t="shared" ref="S126:S189" si="58">IF(OR(AND(M126="Muy Baja",Q126="Leve"),AND(M126="Muy Baja",Q126="Menor"),AND(M126="Baja",Q126="Leve")),"Bajo",IF(OR(AND(M126="Muy baja",Q126="Moderado"),AND(M126="Baja",Q126="Menor"),AND(M126="Baja",Q126="Moderado"),AND(M126="Media",Q126="Leve"),AND(M126="Media",Q126="Menor"),AND(M126="Media",Q126="Moderado"),AND(M126="Alta",Q126="Leve"),AND(M126="Alta",Q126="Menor")),"Moderado",IF(OR(AND(M126="Muy Baja",Q126="Mayor"),AND(M126="Baja",Q126="Mayor"),AND(M126="Media",Q126="Mayor"),AND(M126="Alta",Q126="Moderado"),AND(M126="Alta",Q126="Mayor"),AND(M126="Muy Alta",Q126="Leve"),AND(M126="Muy Alta",Q126="Menor"),AND(M126="Muy Alta",Q126="Moderado"),AND(M126="Muy Alta",Q126="Mayor")),"Alto",IF(OR(AND(M126="Muy Baja",Q126="Catastrófico"),AND(M126="Baja",Q126="Catastrófico"),AND(M126="Media",Q126="Catastrófico"),AND(M126="Alta",Q126="Catastrófico"),AND(M126="Muy Alta",Q126="Catastrófico")),"Extremo",""))))</f>
        <v>Moderado</v>
      </c>
      <c r="T126" s="457">
        <v>1</v>
      </c>
      <c r="U126" s="477" t="s">
        <v>598</v>
      </c>
      <c r="V126" s="457" t="str">
        <f t="shared" si="49"/>
        <v>Probabilidad</v>
      </c>
      <c r="W126" s="458" t="s">
        <v>187</v>
      </c>
      <c r="X126" s="458" t="s">
        <v>188</v>
      </c>
      <c r="Y126" s="459" t="str">
        <f t="shared" ref="Y126:Y189" si="59">IF(AND(W126="Preventivo",X126="Automático"),"50%",IF(AND(W126="Preventivo",X126="Manual"),"40%",IF(AND(W126="Detectivo",X126="Automático"),"40%",IF(AND(W126="Detectivo",X126="Manual"),"30%",IF(AND(W126="Correctivo",X126="Automático"),"35%",IF(AND(W126="Correctivo",X126="Manual"),"25%",""))))))</f>
        <v>40%</v>
      </c>
      <c r="Z126" s="458" t="s">
        <v>222</v>
      </c>
      <c r="AA126" s="458" t="s">
        <v>190</v>
      </c>
      <c r="AB126" s="458" t="s">
        <v>191</v>
      </c>
      <c r="AC126" s="460">
        <f>IFERROR(IF(AND(V125="Probabilidad",V126="Probabilidad"),(AE125-(+AE125*Y126)),IF(AND(V125="Impacto",V126="Probabilidad"),(AE124-(+AE124*Y126)),IF(V126="Impacto",AE125,""))),"")</f>
        <v>4.2335999999999985E-2</v>
      </c>
      <c r="AD126" s="461" t="str">
        <f t="shared" ref="AD126:AD189" si="60">IFERROR(IF(AC126="","",IF(AC126&lt;=0.2,"Muy Baja",IF(AC126&lt;=0.4,"Baja",IF(AC126&lt;=0.6,"Media",IF(AC126&lt;=0.8,"Alta","Muy Alta"))))),"")</f>
        <v>Muy Baja</v>
      </c>
      <c r="AE126" s="462">
        <f t="shared" ref="AE126:AE189" si="61">+AC126</f>
        <v>4.2335999999999985E-2</v>
      </c>
      <c r="AF126" s="461" t="str">
        <f t="shared" ref="AF126:AF189" si="62">IFERROR(IF(AG126="","",IF(AG126&lt;=0.2,"Leve",IF(AG126&lt;=0.4,"Menor",IF(AG126&lt;=0.6,"Moderado",IF(AG126&lt;=0.8,"Mayor","Catastrófico"))))),"")</f>
        <v>Moderado</v>
      </c>
      <c r="AG126" s="462">
        <f>IFERROR(IF(AND(V125="Impacto",V126="Impacto"),(AG125-(+AG125*Y126)),IF(AND(V125="Probabilidad",V126="Impacto"),(AG124-(+AG124*Y126)),IF(V126="Probabilidad",AG125,""))),"")</f>
        <v>0.6</v>
      </c>
      <c r="AH126" s="463" t="str">
        <f t="shared" ref="AH126:AH189" si="63">IFERROR(IF(OR(AND(AD126="Muy Baja",AF126="Leve"),AND(AD126="Muy Baja",AF126="Menor"),AND(AD126="Baja",AF126="Leve")),"Bajo",IF(OR(AND(AD126="Muy baja",AF126="Moderado"),AND(AD126="Baja",AF126="Menor"),AND(AD126="Baja",AF126="Moderado"),AND(AD126="Media",AF126="Leve"),AND(AD126="Media",AF126="Menor"),AND(AD126="Media",AF126="Moderado"),AND(AD126="Alta",AF126="Leve"),AND(AD126="Alta",AF126="Menor")),"Moderado",IF(OR(AND(AD126="Muy Baja",AF126="Mayor"),AND(AD126="Baja",AF126="Mayor"),AND(AD126="Media",AF126="Mayor"),AND(AD126="Alta",AF126="Moderado"),AND(AD126="Alta",AF126="Mayor"),AND(AD126="Muy Alta",AF126="Leve"),AND(AD126="Muy Alta",AF126="Menor"),AND(AD126="Muy Alta",AF126="Moderado"),AND(AD126="Muy Alta",AF126="Mayor")),"Alto",IF(OR(AND(AD126="Muy Baja",AF126="Catastrófico"),AND(AD126="Baja",AF126="Catastrófico"),AND(AD126="Media",AF126="Catastrófico"),AND(AD126="Alta",AF126="Catastrófico"),AND(AD126="Muy Alta",AF126="Catastrófico")),"Extremo","")))),"")</f>
        <v>Moderado</v>
      </c>
      <c r="AI126" s="464" t="s">
        <v>192</v>
      </c>
      <c r="AJ126" s="465"/>
      <c r="AK126" s="209"/>
      <c r="AL126" s="465"/>
      <c r="AM126" s="466"/>
      <c r="AN126" s="468"/>
    </row>
    <row r="127" spans="1:40" ht="409.5" x14ac:dyDescent="0.2">
      <c r="A127" s="540">
        <v>54</v>
      </c>
      <c r="B127" s="540" t="s">
        <v>593</v>
      </c>
      <c r="C127" s="575" t="s">
        <v>561</v>
      </c>
      <c r="D127" s="447" t="str">
        <f>IFERROR(INDEX('Base de datos gestión'!$D$28:$D$50,MATCH(C127,'Base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27" s="447" t="str">
        <f>IFERROR(INDEX('Base de datos gestión'!$E$28:$E$50,MATCH(C127,'Base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27" s="474" t="s">
        <v>445</v>
      </c>
      <c r="G127" s="576" t="s">
        <v>599</v>
      </c>
      <c r="H127" s="577" t="s">
        <v>595</v>
      </c>
      <c r="I127" s="577" t="s">
        <v>596</v>
      </c>
      <c r="J127" s="476" t="s">
        <v>238</v>
      </c>
      <c r="K127" s="476" t="s">
        <v>258</v>
      </c>
      <c r="L127" s="476">
        <v>20</v>
      </c>
      <c r="M127" s="450" t="str">
        <f t="shared" si="56"/>
        <v>Baja</v>
      </c>
      <c r="N127" s="451">
        <f t="shared" si="51"/>
        <v>0.4</v>
      </c>
      <c r="O127" s="452" t="s">
        <v>597</v>
      </c>
      <c r="P127" s="451" t="str">
        <f>IF(NOT(ISERROR(MATCH(O127,'Tabla Impacto'!$B$222:$B$224,0))),'Tabla Impacto'!$F$224&amp;"Por favor no seleccionar los criterios de impacto(Afectación Económica o presupuestal y Pérdida Reputacional)",O127)</f>
        <v xml:space="preserve">     Entre 10 y 50 SMLMV </v>
      </c>
      <c r="Q127" s="453" t="str">
        <f>IF(OR(P127='[1]Tabla Impacto'!$C$12,P127='[1]Tabla Impacto'!$D$12),"Leve",IF(OR(P127='[1]Tabla Impacto'!$C$13,P127='[1]Tabla Impacto'!$D$13),"Menor",IF(OR(P127='[1]Tabla Impacto'!$C$14,P127='[1]Tabla Impacto'!$D$14),"Moderado",IF(OR(P127='[1]Tabla Impacto'!$C$15,P127='[1]Tabla Impacto'!$D$15),"Mayor",IF(OR(P127='[1]Tabla Impacto'!$C$16,P127='[1]Tabla Impacto'!$D$16),"Catastrófico","")))))</f>
        <v>Menor</v>
      </c>
      <c r="R127" s="452">
        <f t="shared" si="57"/>
        <v>0.4</v>
      </c>
      <c r="S127" s="454" t="str">
        <f t="shared" si="58"/>
        <v>Moderado</v>
      </c>
      <c r="T127" s="457">
        <v>2</v>
      </c>
      <c r="U127" s="477" t="s">
        <v>600</v>
      </c>
      <c r="V127" s="457" t="str">
        <f t="shared" si="49"/>
        <v>Impacto</v>
      </c>
      <c r="W127" s="458" t="s">
        <v>209</v>
      </c>
      <c r="X127" s="458" t="s">
        <v>188</v>
      </c>
      <c r="Y127" s="459" t="str">
        <f t="shared" si="59"/>
        <v>25%</v>
      </c>
      <c r="Z127" s="458" t="s">
        <v>222</v>
      </c>
      <c r="AA127" s="458" t="s">
        <v>190</v>
      </c>
      <c r="AB127" s="458" t="s">
        <v>191</v>
      </c>
      <c r="AC127" s="460">
        <f>IFERROR(IF(AND(V126="Probabilidad",V127="Probabilidad"),(AE126-(+AE126*Y127)),IF(AND(V126="Impacto",V127="Probabilidad"),(AE125-(+AE125*Y127)),IF(V127="Impacto",AE126,""))),"")</f>
        <v>4.2335999999999985E-2</v>
      </c>
      <c r="AD127" s="461" t="str">
        <f t="shared" si="60"/>
        <v>Muy Baja</v>
      </c>
      <c r="AE127" s="462">
        <f t="shared" si="61"/>
        <v>4.2335999999999985E-2</v>
      </c>
      <c r="AF127" s="461" t="str">
        <f t="shared" si="62"/>
        <v>Moderado</v>
      </c>
      <c r="AG127" s="462">
        <f>IFERROR(IF(AND(V126="Impacto",V127="Impacto"),(AG126-(+AG126*Y127)),IF(AND(V126="Probabilidad",V127="Impacto"),(AG125-(+AG125*Y127)),IF(V127="Probabilidad",AG126,""))),"")</f>
        <v>0.44999999999999996</v>
      </c>
      <c r="AH127" s="463" t="str">
        <f t="shared" si="63"/>
        <v>Moderado</v>
      </c>
      <c r="AI127" s="464" t="s">
        <v>192</v>
      </c>
      <c r="AJ127" s="465"/>
      <c r="AK127" s="209"/>
      <c r="AL127" s="465"/>
      <c r="AM127" s="466"/>
      <c r="AN127" s="468"/>
    </row>
    <row r="128" spans="1:40" ht="409.5" x14ac:dyDescent="0.2">
      <c r="A128" s="578">
        <v>55</v>
      </c>
      <c r="B128" s="578" t="s">
        <v>601</v>
      </c>
      <c r="C128" s="579" t="s">
        <v>561</v>
      </c>
      <c r="D128" s="447" t="str">
        <f>IFERROR(INDEX('Base de datos gestión'!$D$28:$D$50,MATCH(C128,'Base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28" s="447" t="str">
        <f>IFERROR(INDEX('Base de datos gestión'!$E$28:$E$50,MATCH(C128,'Base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28" s="476" t="s">
        <v>178</v>
      </c>
      <c r="G128" s="576" t="s">
        <v>602</v>
      </c>
      <c r="H128" s="582" t="s">
        <v>603</v>
      </c>
      <c r="I128" s="582" t="s">
        <v>604</v>
      </c>
      <c r="J128" s="476" t="s">
        <v>238</v>
      </c>
      <c r="K128" s="476" t="s">
        <v>258</v>
      </c>
      <c r="L128" s="476">
        <v>20</v>
      </c>
      <c r="M128" s="450" t="str">
        <f t="shared" si="56"/>
        <v>Baja</v>
      </c>
      <c r="N128" s="451">
        <f t="shared" si="51"/>
        <v>0.4</v>
      </c>
      <c r="O128" s="452" t="s">
        <v>332</v>
      </c>
      <c r="P128" s="451" t="str">
        <f>IF(NOT(ISERROR(MATCH(O128,'Tabla Impacto'!$B$222:$B$224,0))),'Tabla Impacto'!$F$224&amp;"Por favor no seleccionar los criterios de impacto(Afectación Económica o presupuestal y Pérdida Reputacional)",O128)</f>
        <v xml:space="preserve">     El riesgo afecta la imagen de alguna área de la organización</v>
      </c>
      <c r="Q128" s="453" t="str">
        <f>IF(OR(P128='[1]Tabla Impacto'!$C$12,P128='[1]Tabla Impacto'!$D$12),"Leve",IF(OR(P128='[1]Tabla Impacto'!$C$13,P128='[1]Tabla Impacto'!$D$13),"Menor",IF(OR(P128='[1]Tabla Impacto'!$C$14,P128='[1]Tabla Impacto'!$D$14),"Moderado",IF(OR(P128='[1]Tabla Impacto'!$C$15,P128='[1]Tabla Impacto'!$D$15),"Mayor",IF(OR(P128='[1]Tabla Impacto'!$C$16,P128='[1]Tabla Impacto'!$D$16),"Catastrófico","")))))</f>
        <v>Leve</v>
      </c>
      <c r="R128" s="452">
        <f t="shared" si="57"/>
        <v>0.2</v>
      </c>
      <c r="S128" s="454" t="str">
        <f t="shared" si="58"/>
        <v>Bajo</v>
      </c>
      <c r="T128" s="457">
        <v>1</v>
      </c>
      <c r="U128" s="477" t="s">
        <v>605</v>
      </c>
      <c r="V128" s="457" t="str">
        <f t="shared" si="49"/>
        <v>Probabilidad</v>
      </c>
      <c r="W128" s="458" t="s">
        <v>187</v>
      </c>
      <c r="X128" s="458" t="s">
        <v>188</v>
      </c>
      <c r="Y128" s="459" t="str">
        <f t="shared" si="59"/>
        <v>40%</v>
      </c>
      <c r="Z128" s="458" t="s">
        <v>222</v>
      </c>
      <c r="AA128" s="458" t="s">
        <v>190</v>
      </c>
      <c r="AB128" s="458" t="s">
        <v>191</v>
      </c>
      <c r="AC128" s="460">
        <f>IFERROR(IF(V128="Probabilidad",(N128-(+N128*Y128)),IF(V128="Impacto",N128,"")),"")</f>
        <v>0.24</v>
      </c>
      <c r="AD128" s="461" t="str">
        <f t="shared" si="60"/>
        <v>Baja</v>
      </c>
      <c r="AE128" s="462">
        <f t="shared" si="61"/>
        <v>0.24</v>
      </c>
      <c r="AF128" s="461" t="str">
        <f t="shared" si="62"/>
        <v>Leve</v>
      </c>
      <c r="AG128" s="462">
        <f>IFERROR(IF(V128="Impacto",(R128-(+R128*Y128)),IF(V128="Probabilidad",R128,"")),"")</f>
        <v>0.2</v>
      </c>
      <c r="AH128" s="463" t="str">
        <f t="shared" si="63"/>
        <v>Bajo</v>
      </c>
      <c r="AI128" s="464" t="s">
        <v>192</v>
      </c>
      <c r="AJ128" s="465"/>
      <c r="AK128" s="209"/>
      <c r="AL128" s="465"/>
      <c r="AM128" s="466"/>
      <c r="AN128" s="468"/>
    </row>
    <row r="129" spans="1:40" ht="409.5" x14ac:dyDescent="0.2">
      <c r="A129" s="541">
        <v>56</v>
      </c>
      <c r="B129" s="541" t="s">
        <v>606</v>
      </c>
      <c r="C129" s="580" t="s">
        <v>561</v>
      </c>
      <c r="D129" s="447" t="str">
        <f>IFERROR(INDEX('Base de datos gestión'!$D$28:$D$50,MATCH(C129,'Base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29" s="447" t="str">
        <f>IFERROR(INDEX('Base de datos gestión'!$E$28:$E$50,MATCH(C129,'Base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29" s="474" t="s">
        <v>445</v>
      </c>
      <c r="G129" s="576" t="s">
        <v>607</v>
      </c>
      <c r="H129" s="577" t="s">
        <v>608</v>
      </c>
      <c r="I129" s="577" t="s">
        <v>609</v>
      </c>
      <c r="J129" s="476" t="s">
        <v>238</v>
      </c>
      <c r="K129" s="476" t="s">
        <v>258</v>
      </c>
      <c r="L129" s="476">
        <v>1600</v>
      </c>
      <c r="M129" s="450" t="str">
        <f t="shared" si="56"/>
        <v>Alta</v>
      </c>
      <c r="N129" s="451">
        <f t="shared" si="51"/>
        <v>0.8</v>
      </c>
      <c r="O129" s="452" t="s">
        <v>610</v>
      </c>
      <c r="P129" s="451" t="str">
        <f>IF(NOT(ISERROR(MATCH(O129,'Tabla Impacto'!$B$222:$B$224,0))),'Tabla Impacto'!$F$224&amp;"Por favor no seleccionar los criterios de impacto(Afectación Económica o presupuestal y Pérdida Reputacional)",O129)</f>
        <v xml:space="preserve">     Entre 50 y 100 SMLMV </v>
      </c>
      <c r="Q129" s="453" t="str">
        <f>IF(OR(P129='[1]Tabla Impacto'!$C$12,P129='[1]Tabla Impacto'!$D$12),"Leve",IF(OR(P129='[1]Tabla Impacto'!$C$13,P129='[1]Tabla Impacto'!$D$13),"Menor",IF(OR(P129='[1]Tabla Impacto'!$C$14,P129='[1]Tabla Impacto'!$D$14),"Moderado",IF(OR(P129='[1]Tabla Impacto'!$C$15,P129='[1]Tabla Impacto'!$D$15),"Mayor",IF(OR(P129='[1]Tabla Impacto'!$C$16,P129='[1]Tabla Impacto'!$D$16),"Catastrófico","")))))</f>
        <v>Moderado</v>
      </c>
      <c r="R129" s="452">
        <f t="shared" si="57"/>
        <v>0.6</v>
      </c>
      <c r="S129" s="454" t="str">
        <f t="shared" si="58"/>
        <v>Alto</v>
      </c>
      <c r="T129" s="457">
        <v>1</v>
      </c>
      <c r="U129" s="477" t="s">
        <v>611</v>
      </c>
      <c r="V129" s="457" t="str">
        <f t="shared" si="49"/>
        <v>Probabilidad</v>
      </c>
      <c r="W129" s="458" t="s">
        <v>187</v>
      </c>
      <c r="X129" s="458" t="s">
        <v>188</v>
      </c>
      <c r="Y129" s="459" t="str">
        <f t="shared" si="59"/>
        <v>40%</v>
      </c>
      <c r="Z129" s="458" t="s">
        <v>222</v>
      </c>
      <c r="AA129" s="458" t="s">
        <v>190</v>
      </c>
      <c r="AB129" s="458" t="s">
        <v>191</v>
      </c>
      <c r="AC129" s="460">
        <f>IFERROR(IF(AND(V128="Probabilidad",V129="Probabilidad"),(AE128-(+AE128*Y129)),IF(V129="Probabilidad",(N128-(+N128*Y129)),IF(V129="Impacto",AE128,""))),"")</f>
        <v>0.14399999999999999</v>
      </c>
      <c r="AD129" s="461" t="str">
        <f t="shared" si="60"/>
        <v>Muy Baja</v>
      </c>
      <c r="AE129" s="462">
        <f t="shared" si="61"/>
        <v>0.14399999999999999</v>
      </c>
      <c r="AF129" s="461" t="str">
        <f t="shared" si="62"/>
        <v>Mayor</v>
      </c>
      <c r="AG129" s="462">
        <f>IFERROR(IF(AND(V128="Impacto",V129="Impacto"),(AG122-(+AG122*Y129)),IF(V129="Impacto",($R$56-(+$R$56*Y129)),IF(V129="Probabilidad",AG122,""))),"")</f>
        <v>0.8</v>
      </c>
      <c r="AH129" s="463" t="str">
        <f t="shared" si="63"/>
        <v>Alto</v>
      </c>
      <c r="AI129" s="464" t="s">
        <v>192</v>
      </c>
      <c r="AJ129" s="465"/>
      <c r="AK129" s="209"/>
      <c r="AL129" s="465"/>
      <c r="AM129" s="466"/>
      <c r="AN129" s="468"/>
    </row>
    <row r="130" spans="1:40" ht="409.5" x14ac:dyDescent="0.2">
      <c r="A130" s="541">
        <v>56</v>
      </c>
      <c r="B130" s="541" t="s">
        <v>606</v>
      </c>
      <c r="C130" s="580" t="s">
        <v>561</v>
      </c>
      <c r="D130" s="447" t="str">
        <f>IFERROR(INDEX('Base de datos gestión'!$D$28:$D$50,MATCH(C130,'Base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30" s="447" t="str">
        <f>IFERROR(INDEX('Base de datos gestión'!$E$28:$E$50,MATCH(C130,'Base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30" s="474" t="s">
        <v>445</v>
      </c>
      <c r="G130" s="576" t="s">
        <v>607</v>
      </c>
      <c r="H130" s="577" t="s">
        <v>608</v>
      </c>
      <c r="I130" s="577" t="s">
        <v>609</v>
      </c>
      <c r="J130" s="476" t="s">
        <v>238</v>
      </c>
      <c r="K130" s="476" t="s">
        <v>258</v>
      </c>
      <c r="L130" s="476">
        <v>1600</v>
      </c>
      <c r="M130" s="450" t="str">
        <f t="shared" si="56"/>
        <v>Alta</v>
      </c>
      <c r="N130" s="451">
        <f t="shared" si="51"/>
        <v>0.8</v>
      </c>
      <c r="O130" s="452" t="s">
        <v>610</v>
      </c>
      <c r="P130" s="451" t="str">
        <f>IF(NOT(ISERROR(MATCH(O130,'Tabla Impacto'!$B$222:$B$224,0))),'Tabla Impacto'!$F$224&amp;"Por favor no seleccionar los criterios de impacto(Afectación Económica o presupuestal y Pérdida Reputacional)",O130)</f>
        <v xml:space="preserve">     Entre 50 y 100 SMLMV </v>
      </c>
      <c r="Q130" s="453" t="str">
        <f>IF(OR(P130='[1]Tabla Impacto'!$C$12,P130='[1]Tabla Impacto'!$D$12),"Leve",IF(OR(P130='[1]Tabla Impacto'!$C$13,P130='[1]Tabla Impacto'!$D$13),"Menor",IF(OR(P130='[1]Tabla Impacto'!$C$14,P130='[1]Tabla Impacto'!$D$14),"Moderado",IF(OR(P130='[1]Tabla Impacto'!$C$15,P130='[1]Tabla Impacto'!$D$15),"Mayor",IF(OR(P130='[1]Tabla Impacto'!$C$16,P130='[1]Tabla Impacto'!$D$16),"Catastrófico","")))))</f>
        <v>Moderado</v>
      </c>
      <c r="R130" s="452">
        <f t="shared" si="57"/>
        <v>0.6</v>
      </c>
      <c r="S130" s="454" t="str">
        <f t="shared" si="58"/>
        <v>Alto</v>
      </c>
      <c r="T130" s="457">
        <v>2</v>
      </c>
      <c r="U130" s="477" t="s">
        <v>612</v>
      </c>
      <c r="V130" s="457" t="str">
        <f t="shared" si="49"/>
        <v>Probabilidad</v>
      </c>
      <c r="W130" s="458" t="s">
        <v>187</v>
      </c>
      <c r="X130" s="458" t="s">
        <v>188</v>
      </c>
      <c r="Y130" s="459" t="str">
        <f t="shared" si="59"/>
        <v>40%</v>
      </c>
      <c r="Z130" s="458" t="s">
        <v>222</v>
      </c>
      <c r="AA130" s="458" t="s">
        <v>190</v>
      </c>
      <c r="AB130" s="458" t="s">
        <v>191</v>
      </c>
      <c r="AC130" s="460">
        <f>IFERROR(IF(AND(V129="Probabilidad",V130="Probabilidad"),(AE129-(+AE129*Y130)),IF(AND(V129="Impacto",V130="Probabilidad"),(AE128-(+AE128*Y130)),IF(V130="Impacto",AE129,""))),"")</f>
        <v>8.6399999999999991E-2</v>
      </c>
      <c r="AD130" s="461" t="str">
        <f t="shared" si="60"/>
        <v>Muy Baja</v>
      </c>
      <c r="AE130" s="462">
        <f t="shared" si="61"/>
        <v>8.6399999999999991E-2</v>
      </c>
      <c r="AF130" s="461" t="str">
        <f t="shared" si="62"/>
        <v>Mayor</v>
      </c>
      <c r="AG130" s="462">
        <f>IFERROR(IF(AND(V129="Impacto",V130="Impacto"),(AG129-(+AG129*Y130)),IF(AND(V129="Probabilidad",V130="Impacto"),(AG128-(+AG128*Y130)),IF(V130="Probabilidad",AG129,""))),"")</f>
        <v>0.8</v>
      </c>
      <c r="AH130" s="463" t="str">
        <f t="shared" si="63"/>
        <v>Alto</v>
      </c>
      <c r="AI130" s="464" t="s">
        <v>192</v>
      </c>
      <c r="AJ130" s="465"/>
      <c r="AK130" s="209"/>
      <c r="AL130" s="465"/>
      <c r="AM130" s="466"/>
      <c r="AN130" s="468"/>
    </row>
    <row r="131" spans="1:40" ht="409.5" x14ac:dyDescent="0.2">
      <c r="A131" s="541">
        <v>57</v>
      </c>
      <c r="B131" s="541" t="s">
        <v>613</v>
      </c>
      <c r="C131" s="580" t="s">
        <v>561</v>
      </c>
      <c r="D131" s="447" t="str">
        <f>IFERROR(INDEX('Base de datos gestión'!$D$28:$D$50,MATCH(C131,'Base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31" s="447" t="str">
        <f>IFERROR(INDEX('Base de datos gestión'!$E$28:$E$50,MATCH(C131,'Base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31" s="474" t="s">
        <v>234</v>
      </c>
      <c r="G131" s="576" t="s">
        <v>614</v>
      </c>
      <c r="H131" s="577" t="s">
        <v>615</v>
      </c>
      <c r="I131" s="577" t="s">
        <v>616</v>
      </c>
      <c r="J131" s="476" t="s">
        <v>238</v>
      </c>
      <c r="K131" s="476" t="s">
        <v>258</v>
      </c>
      <c r="L131" s="476">
        <v>2</v>
      </c>
      <c r="M131" s="450" t="str">
        <f t="shared" si="56"/>
        <v>Muy Baja</v>
      </c>
      <c r="N131" s="451">
        <f t="shared" si="51"/>
        <v>0.2</v>
      </c>
      <c r="O131" s="452" t="s">
        <v>214</v>
      </c>
      <c r="P131" s="451" t="str">
        <f>IF(NOT(ISERROR(MATCH(O131,'Tabla Impacto'!$B$222:$B$224,0))),'Tabla Impacto'!$F$224&amp;"Por favor no seleccionar los criterios de impacto(Afectación Económica o presupuestal y Pérdida Reputacional)",O131)</f>
        <v xml:space="preserve">     El riesgo afecta la imagen de la entidad con algunos usuarios de relevancia frente al logro de los objetivos</v>
      </c>
      <c r="Q131" s="453" t="str">
        <f>IF(OR(P131='[1]Tabla Impacto'!$C$12,P131='[1]Tabla Impacto'!$D$12),"Leve",IF(OR(P131='[1]Tabla Impacto'!$C$13,P131='[1]Tabla Impacto'!$D$13),"Menor",IF(OR(P131='[1]Tabla Impacto'!$C$14,P131='[1]Tabla Impacto'!$D$14),"Moderado",IF(OR(P131='[1]Tabla Impacto'!$C$15,P131='[1]Tabla Impacto'!$D$15),"Mayor",IF(OR(P131='[1]Tabla Impacto'!$C$16,P131='[1]Tabla Impacto'!$D$16),"Catastrófico","")))))</f>
        <v>Moderado</v>
      </c>
      <c r="R131" s="452">
        <f t="shared" si="57"/>
        <v>0.6</v>
      </c>
      <c r="S131" s="454" t="str">
        <f t="shared" si="58"/>
        <v>Moderado</v>
      </c>
      <c r="T131" s="457">
        <v>1</v>
      </c>
      <c r="U131" s="477" t="s">
        <v>617</v>
      </c>
      <c r="V131" s="457" t="str">
        <f t="shared" si="49"/>
        <v>Probabilidad</v>
      </c>
      <c r="W131" s="458" t="s">
        <v>187</v>
      </c>
      <c r="X131" s="458" t="s">
        <v>188</v>
      </c>
      <c r="Y131" s="459" t="str">
        <f t="shared" si="59"/>
        <v>40%</v>
      </c>
      <c r="Z131" s="458" t="s">
        <v>222</v>
      </c>
      <c r="AA131" s="458" t="s">
        <v>190</v>
      </c>
      <c r="AB131" s="458" t="s">
        <v>191</v>
      </c>
      <c r="AC131" s="460">
        <f>IFERROR(IF(AND(V130="Probabilidad",V131="Probabilidad"),(AE130-(+AE130*Y131)),IF(AND(V130="Impacto",V131="Probabilidad"),(AE129-(+AE129*Y131)),IF(V131="Impacto",AE130,""))),"")</f>
        <v>5.183999999999999E-2</v>
      </c>
      <c r="AD131" s="461" t="str">
        <f t="shared" si="60"/>
        <v>Muy Baja</v>
      </c>
      <c r="AE131" s="462">
        <f t="shared" si="61"/>
        <v>5.183999999999999E-2</v>
      </c>
      <c r="AF131" s="461" t="str">
        <f t="shared" si="62"/>
        <v>Mayor</v>
      </c>
      <c r="AG131" s="462">
        <f>IFERROR(IF(AND(V130="Impacto",V131="Impacto"),(AG130-(+AG130*Y131)),IF(AND(V130="Probabilidad",V131="Impacto"),(AG129-(+AG129*Y131)),IF(V131="Probabilidad",AG130,""))),"")</f>
        <v>0.8</v>
      </c>
      <c r="AH131" s="463" t="str">
        <f t="shared" si="63"/>
        <v>Alto</v>
      </c>
      <c r="AI131" s="464" t="s">
        <v>192</v>
      </c>
      <c r="AJ131" s="465"/>
      <c r="AK131" s="209"/>
      <c r="AL131" s="465"/>
      <c r="AM131" s="466"/>
      <c r="AN131" s="468"/>
    </row>
    <row r="132" spans="1:40" ht="409.5" x14ac:dyDescent="0.2">
      <c r="A132" s="541">
        <v>57</v>
      </c>
      <c r="B132" s="541" t="s">
        <v>613</v>
      </c>
      <c r="C132" s="580" t="s">
        <v>561</v>
      </c>
      <c r="D132" s="447" t="str">
        <f>IFERROR(INDEX('Base de datos gestión'!$D$28:$D$50,MATCH(C132,'Base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32" s="447" t="str">
        <f>IFERROR(INDEX('Base de datos gestión'!$E$28:$E$50,MATCH(C132,'Base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32" s="474" t="s">
        <v>234</v>
      </c>
      <c r="G132" s="576" t="s">
        <v>614</v>
      </c>
      <c r="H132" s="577" t="s">
        <v>615</v>
      </c>
      <c r="I132" s="577" t="s">
        <v>616</v>
      </c>
      <c r="J132" s="476" t="s">
        <v>238</v>
      </c>
      <c r="K132" s="476" t="s">
        <v>258</v>
      </c>
      <c r="L132" s="476">
        <v>2</v>
      </c>
      <c r="M132" s="450" t="str">
        <f t="shared" si="56"/>
        <v>Muy Baja</v>
      </c>
      <c r="N132" s="451">
        <f t="shared" si="51"/>
        <v>0.2</v>
      </c>
      <c r="O132" s="452" t="s">
        <v>214</v>
      </c>
      <c r="P132" s="451" t="str">
        <f>IF(NOT(ISERROR(MATCH(O132,'Tabla Impacto'!$B$222:$B$224,0))),'Tabla Impacto'!$F$224&amp;"Por favor no seleccionar los criterios de impacto(Afectación Económica o presupuestal y Pérdida Reputacional)",O132)</f>
        <v xml:space="preserve">     El riesgo afecta la imagen de la entidad con algunos usuarios de relevancia frente al logro de los objetivos</v>
      </c>
      <c r="Q132" s="453" t="str">
        <f>IF(OR(P132='[1]Tabla Impacto'!$C$12,P132='[1]Tabla Impacto'!$D$12),"Leve",IF(OR(P132='[1]Tabla Impacto'!$C$13,P132='[1]Tabla Impacto'!$D$13),"Menor",IF(OR(P132='[1]Tabla Impacto'!$C$14,P132='[1]Tabla Impacto'!$D$14),"Moderado",IF(OR(P132='[1]Tabla Impacto'!$C$15,P132='[1]Tabla Impacto'!$D$15),"Mayor",IF(OR(P132='[1]Tabla Impacto'!$C$16,P132='[1]Tabla Impacto'!$D$16),"Catastrófico","")))))</f>
        <v>Moderado</v>
      </c>
      <c r="R132" s="452">
        <f t="shared" si="57"/>
        <v>0.6</v>
      </c>
      <c r="S132" s="454" t="str">
        <f t="shared" si="58"/>
        <v>Moderado</v>
      </c>
      <c r="T132" s="457">
        <v>2</v>
      </c>
      <c r="U132" s="477" t="s">
        <v>618</v>
      </c>
      <c r="V132" s="457" t="str">
        <f t="shared" si="49"/>
        <v>Probabilidad</v>
      </c>
      <c r="W132" s="458" t="s">
        <v>228</v>
      </c>
      <c r="X132" s="458" t="s">
        <v>188</v>
      </c>
      <c r="Y132" s="459" t="str">
        <f t="shared" si="59"/>
        <v>30%</v>
      </c>
      <c r="Z132" s="458" t="s">
        <v>222</v>
      </c>
      <c r="AA132" s="458" t="s">
        <v>190</v>
      </c>
      <c r="AB132" s="458" t="s">
        <v>191</v>
      </c>
      <c r="AC132" s="460">
        <f>IFERROR(IF(AND(V131="Probabilidad",V132="Probabilidad"),(AE131-(+AE131*Y132)),IF(AND(V131="Impacto",V132="Probabilidad"),(AE130-(+AE130*Y132)),IF(V132="Impacto",AE131,""))),"")</f>
        <v>3.6287999999999994E-2</v>
      </c>
      <c r="AD132" s="461" t="str">
        <f t="shared" si="60"/>
        <v>Muy Baja</v>
      </c>
      <c r="AE132" s="462">
        <f t="shared" si="61"/>
        <v>3.6287999999999994E-2</v>
      </c>
      <c r="AF132" s="461" t="str">
        <f t="shared" si="62"/>
        <v>Mayor</v>
      </c>
      <c r="AG132" s="462">
        <f>IFERROR(IF(AND(V131="Impacto",V132="Impacto"),(AG131-(+AG131*Y132)),IF(AND(V131="Probabilidad",V132="Impacto"),(AG130-(+AG130*Y132)),IF(V132="Probabilidad",AG131,""))),"")</f>
        <v>0.8</v>
      </c>
      <c r="AH132" s="463" t="str">
        <f t="shared" si="63"/>
        <v>Alto</v>
      </c>
      <c r="AI132" s="464" t="s">
        <v>192</v>
      </c>
      <c r="AJ132" s="465"/>
      <c r="AK132" s="209"/>
      <c r="AL132" s="465"/>
      <c r="AM132" s="466"/>
      <c r="AN132" s="468"/>
    </row>
    <row r="133" spans="1:40" ht="409.5" x14ac:dyDescent="0.2">
      <c r="A133" s="540">
        <v>58</v>
      </c>
      <c r="B133" s="540" t="s">
        <v>619</v>
      </c>
      <c r="C133" s="575" t="s">
        <v>561</v>
      </c>
      <c r="D133" s="447" t="str">
        <f>IFERROR(INDEX('Base de datos gestión'!$D$28:$D$50,MATCH(C133,'Base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33" s="447" t="str">
        <f>IFERROR(INDEX('Base de datos gestión'!$E$28:$E$50,MATCH(C133,'Base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33" s="474" t="s">
        <v>234</v>
      </c>
      <c r="G133" s="576" t="s">
        <v>620</v>
      </c>
      <c r="H133" s="577" t="s">
        <v>621</v>
      </c>
      <c r="I133" s="577" t="s">
        <v>622</v>
      </c>
      <c r="J133" s="476" t="s">
        <v>517</v>
      </c>
      <c r="K133" s="476" t="s">
        <v>364</v>
      </c>
      <c r="L133" s="476">
        <v>42000</v>
      </c>
      <c r="M133" s="450" t="str">
        <f t="shared" si="56"/>
        <v>Muy Alta</v>
      </c>
      <c r="N133" s="451">
        <f t="shared" si="51"/>
        <v>1</v>
      </c>
      <c r="O133" s="452" t="s">
        <v>214</v>
      </c>
      <c r="P133" s="451" t="str">
        <f>IF(NOT(ISERROR(MATCH(O133,'Tabla Impacto'!$B$222:$B$224,0))),'Tabla Impacto'!$F$224&amp;"Por favor no seleccionar los criterios de impacto(Afectación Económica o presupuestal y Pérdida Reputacional)",O133)</f>
        <v xml:space="preserve">     El riesgo afecta la imagen de la entidad con algunos usuarios de relevancia frente al logro de los objetivos</v>
      </c>
      <c r="Q133" s="453" t="str">
        <f>IF(OR(P133='[1]Tabla Impacto'!$C$12,P133='[1]Tabla Impacto'!$D$12),"Leve",IF(OR(P133='[1]Tabla Impacto'!$C$13,P133='[1]Tabla Impacto'!$D$13),"Menor",IF(OR(P133='[1]Tabla Impacto'!$C$14,P133='[1]Tabla Impacto'!$D$14),"Moderado",IF(OR(P133='[1]Tabla Impacto'!$C$15,P133='[1]Tabla Impacto'!$D$15),"Mayor",IF(OR(P133='[1]Tabla Impacto'!$C$16,P133='[1]Tabla Impacto'!$D$16),"Catastrófico","")))))</f>
        <v>Moderado</v>
      </c>
      <c r="R133" s="452">
        <f t="shared" si="57"/>
        <v>0.6</v>
      </c>
      <c r="S133" s="454" t="str">
        <f t="shared" si="58"/>
        <v>Alto</v>
      </c>
      <c r="T133" s="457">
        <v>1</v>
      </c>
      <c r="U133" s="477" t="s">
        <v>623</v>
      </c>
      <c r="V133" s="457" t="str">
        <f t="shared" si="49"/>
        <v>Probabilidad</v>
      </c>
      <c r="W133" s="458" t="s">
        <v>187</v>
      </c>
      <c r="X133" s="458" t="s">
        <v>188</v>
      </c>
      <c r="Y133" s="459" t="str">
        <f t="shared" si="59"/>
        <v>40%</v>
      </c>
      <c r="Z133" s="458" t="s">
        <v>222</v>
      </c>
      <c r="AA133" s="458" t="s">
        <v>190</v>
      </c>
      <c r="AB133" s="458" t="s">
        <v>191</v>
      </c>
      <c r="AC133" s="460">
        <f>IFERROR(IF(AND(V132="Probabilidad",V133="Probabilidad"),(AE132-(+AE132*Y133)),IF(AND(V132="Impacto",V133="Probabilidad"),(AE131-(+AE131*Y133)),IF(V133="Impacto",AE132,""))),"")</f>
        <v>2.1772799999999995E-2</v>
      </c>
      <c r="AD133" s="461" t="str">
        <f t="shared" si="60"/>
        <v>Muy Baja</v>
      </c>
      <c r="AE133" s="462">
        <f t="shared" si="61"/>
        <v>2.1772799999999995E-2</v>
      </c>
      <c r="AF133" s="461" t="str">
        <f t="shared" si="62"/>
        <v>Mayor</v>
      </c>
      <c r="AG133" s="462">
        <f>IFERROR(IF(AND(V132="Impacto",V133="Impacto"),(AG132-(+AG132*Y133)),IF(AND(V132="Probabilidad",V133="Impacto"),(AG131-(+AG131*Y133)),IF(V133="Probabilidad",AG132,""))),"")</f>
        <v>0.8</v>
      </c>
      <c r="AH133" s="463" t="str">
        <f t="shared" si="63"/>
        <v>Alto</v>
      </c>
      <c r="AI133" s="464" t="s">
        <v>192</v>
      </c>
      <c r="AJ133" s="465"/>
      <c r="AK133" s="209"/>
      <c r="AL133" s="465"/>
      <c r="AM133" s="466"/>
      <c r="AN133" s="468"/>
    </row>
    <row r="134" spans="1:40" ht="409.5" x14ac:dyDescent="0.2">
      <c r="A134" s="578">
        <v>58</v>
      </c>
      <c r="B134" s="578" t="s">
        <v>619</v>
      </c>
      <c r="C134" s="579" t="s">
        <v>561</v>
      </c>
      <c r="D134" s="447" t="str">
        <f>IFERROR(INDEX('Base de datos gestión'!$D$28:$D$50,MATCH(C134,'Base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34" s="447" t="str">
        <f>IFERROR(INDEX('Base de datos gestión'!$E$28:$E$50,MATCH(C134,'Base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34" s="474" t="s">
        <v>234</v>
      </c>
      <c r="G134" s="576" t="s">
        <v>620</v>
      </c>
      <c r="H134" s="577" t="s">
        <v>621</v>
      </c>
      <c r="I134" s="577" t="s">
        <v>622</v>
      </c>
      <c r="J134" s="476" t="s">
        <v>517</v>
      </c>
      <c r="K134" s="476" t="s">
        <v>364</v>
      </c>
      <c r="L134" s="476">
        <v>42000</v>
      </c>
      <c r="M134" s="450" t="str">
        <f t="shared" si="56"/>
        <v>Muy Alta</v>
      </c>
      <c r="N134" s="451">
        <f t="shared" si="51"/>
        <v>1</v>
      </c>
      <c r="O134" s="452" t="s">
        <v>214</v>
      </c>
      <c r="P134" s="451" t="str">
        <f>IF(NOT(ISERROR(MATCH(O134,'Tabla Impacto'!$B$222:$B$224,0))),'Tabla Impacto'!$F$224&amp;"Por favor no seleccionar los criterios de impacto(Afectación Económica o presupuestal y Pérdida Reputacional)",O134)</f>
        <v xml:space="preserve">     El riesgo afecta la imagen de la entidad con algunos usuarios de relevancia frente al logro de los objetivos</v>
      </c>
      <c r="Q134" s="453" t="str">
        <f>IF(OR(P134='[1]Tabla Impacto'!$C$12,P134='[1]Tabla Impacto'!$D$12),"Leve",IF(OR(P134='[1]Tabla Impacto'!$C$13,P134='[1]Tabla Impacto'!$D$13),"Menor",IF(OR(P134='[1]Tabla Impacto'!$C$14,P134='[1]Tabla Impacto'!$D$14),"Moderado",IF(OR(P134='[1]Tabla Impacto'!$C$15,P134='[1]Tabla Impacto'!$D$15),"Mayor",IF(OR(P134='[1]Tabla Impacto'!$C$16,P134='[1]Tabla Impacto'!$D$16),"Catastrófico","")))))</f>
        <v>Moderado</v>
      </c>
      <c r="R134" s="452">
        <f t="shared" si="57"/>
        <v>0.6</v>
      </c>
      <c r="S134" s="454" t="str">
        <f t="shared" si="58"/>
        <v>Alto</v>
      </c>
      <c r="T134" s="457">
        <v>2</v>
      </c>
      <c r="U134" s="477" t="s">
        <v>624</v>
      </c>
      <c r="V134" s="457" t="str">
        <f t="shared" si="49"/>
        <v>Probabilidad</v>
      </c>
      <c r="W134" s="458" t="s">
        <v>187</v>
      </c>
      <c r="X134" s="458" t="s">
        <v>188</v>
      </c>
      <c r="Y134" s="459" t="str">
        <f t="shared" si="59"/>
        <v>40%</v>
      </c>
      <c r="Z134" s="458" t="s">
        <v>222</v>
      </c>
      <c r="AA134" s="458" t="s">
        <v>190</v>
      </c>
      <c r="AB134" s="458" t="s">
        <v>191</v>
      </c>
      <c r="AC134" s="460">
        <f>IFERROR(IF(V134="Probabilidad",(N134-(+N134*Y134)),IF(V134="Impacto",N134,"")),"")</f>
        <v>0.6</v>
      </c>
      <c r="AD134" s="461" t="str">
        <f t="shared" si="60"/>
        <v>Media</v>
      </c>
      <c r="AE134" s="462">
        <f t="shared" si="61"/>
        <v>0.6</v>
      </c>
      <c r="AF134" s="461" t="str">
        <f t="shared" si="62"/>
        <v>Moderado</v>
      </c>
      <c r="AG134" s="462">
        <f>IFERROR(IF(V134="Impacto",(R134-(+R134*Y134)),IF(V134="Probabilidad",R134,"")),"")</f>
        <v>0.6</v>
      </c>
      <c r="AH134" s="463" t="str">
        <f t="shared" si="63"/>
        <v>Moderado</v>
      </c>
      <c r="AI134" s="464" t="s">
        <v>192</v>
      </c>
      <c r="AJ134" s="465"/>
      <c r="AK134" s="209"/>
      <c r="AL134" s="465"/>
      <c r="AM134" s="466"/>
      <c r="AN134" s="468"/>
    </row>
    <row r="135" spans="1:40" ht="409.5" x14ac:dyDescent="0.2">
      <c r="A135" s="541">
        <v>59</v>
      </c>
      <c r="B135" s="541" t="s">
        <v>625</v>
      </c>
      <c r="C135" s="580" t="s">
        <v>561</v>
      </c>
      <c r="D135" s="447" t="str">
        <f>IFERROR(INDEX('Base de datos gestión'!$D$28:$D$50,MATCH(C135,'Base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35" s="447" t="str">
        <f>IFERROR(INDEX('Base de datos gestión'!$E$28:$E$50,MATCH(C135,'Base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35" s="476" t="s">
        <v>234</v>
      </c>
      <c r="G135" s="576" t="s">
        <v>626</v>
      </c>
      <c r="H135" s="582" t="s">
        <v>627</v>
      </c>
      <c r="I135" s="582" t="s">
        <v>628</v>
      </c>
      <c r="J135" s="476" t="s">
        <v>238</v>
      </c>
      <c r="K135" s="476" t="s">
        <v>258</v>
      </c>
      <c r="L135" s="476">
        <v>43</v>
      </c>
      <c r="M135" s="450" t="str">
        <f t="shared" si="56"/>
        <v>Media</v>
      </c>
      <c r="N135" s="451">
        <f t="shared" si="51"/>
        <v>0.6</v>
      </c>
      <c r="O135" s="452" t="s">
        <v>214</v>
      </c>
      <c r="P135" s="451" t="str">
        <f>IF(NOT(ISERROR(MATCH(O135,'Tabla Impacto'!$B$222:$B$224,0))),'Tabla Impacto'!$F$224&amp;"Por favor no seleccionar los criterios de impacto(Afectación Económica o presupuestal y Pérdida Reputacional)",O135)</f>
        <v xml:space="preserve">     El riesgo afecta la imagen de la entidad con algunos usuarios de relevancia frente al logro de los objetivos</v>
      </c>
      <c r="Q135" s="453" t="str">
        <f>IF(OR(P135='[1]Tabla Impacto'!$C$12,P135='[1]Tabla Impacto'!$D$12),"Leve",IF(OR(P135='[1]Tabla Impacto'!$C$13,P135='[1]Tabla Impacto'!$D$13),"Menor",IF(OR(P135='[1]Tabla Impacto'!$C$14,P135='[1]Tabla Impacto'!$D$14),"Moderado",IF(OR(P135='[1]Tabla Impacto'!$C$15,P135='[1]Tabla Impacto'!$D$15),"Mayor",IF(OR(P135='[1]Tabla Impacto'!$C$16,P135='[1]Tabla Impacto'!$D$16),"Catastrófico","")))))</f>
        <v>Moderado</v>
      </c>
      <c r="R135" s="452">
        <f t="shared" si="57"/>
        <v>0.6</v>
      </c>
      <c r="S135" s="454" t="str">
        <f t="shared" si="58"/>
        <v>Moderado</v>
      </c>
      <c r="T135" s="457">
        <v>1</v>
      </c>
      <c r="U135" s="477" t="s">
        <v>629</v>
      </c>
      <c r="V135" s="457" t="str">
        <f t="shared" si="49"/>
        <v>Probabilidad</v>
      </c>
      <c r="W135" s="458" t="s">
        <v>187</v>
      </c>
      <c r="X135" s="458" t="s">
        <v>188</v>
      </c>
      <c r="Y135" s="459" t="str">
        <f t="shared" si="59"/>
        <v>40%</v>
      </c>
      <c r="Z135" s="458" t="s">
        <v>222</v>
      </c>
      <c r="AA135" s="458" t="s">
        <v>190</v>
      </c>
      <c r="AB135" s="458" t="s">
        <v>191</v>
      </c>
      <c r="AC135" s="460">
        <f>IFERROR(IF(AND(V134="Probabilidad",V135="Probabilidad"),(AE134-(+AE134*Y135)),IF(V135="Probabilidad",(N134-(+N134*Y135)),IF(V135="Impacto",AE134,""))),"")</f>
        <v>0.36</v>
      </c>
      <c r="AD135" s="461" t="str">
        <f t="shared" si="60"/>
        <v>Baja</v>
      </c>
      <c r="AE135" s="462">
        <f t="shared" si="61"/>
        <v>0.36</v>
      </c>
      <c r="AF135" s="461" t="str">
        <f t="shared" si="62"/>
        <v>Leve</v>
      </c>
      <c r="AG135" s="462">
        <f>IFERROR(IF(AND(V134="Impacto",V135="Impacto"),(AG128-(+AG128*Y135)),IF(V135="Impacto",($R$50-(+$R$50*Y135)),IF(V135="Probabilidad",AG128,""))),"")</f>
        <v>0.2</v>
      </c>
      <c r="AH135" s="463" t="str">
        <f t="shared" si="63"/>
        <v>Bajo</v>
      </c>
      <c r="AI135" s="464" t="s">
        <v>192</v>
      </c>
      <c r="AJ135" s="465"/>
      <c r="AK135" s="209"/>
      <c r="AL135" s="465"/>
      <c r="AM135" s="466"/>
      <c r="AN135" s="468"/>
    </row>
    <row r="136" spans="1:40" ht="409.5" x14ac:dyDescent="0.2">
      <c r="A136" s="469">
        <v>60</v>
      </c>
      <c r="B136" s="469" t="s">
        <v>630</v>
      </c>
      <c r="C136" s="470" t="s">
        <v>631</v>
      </c>
      <c r="D136" s="447" t="str">
        <f>IFERROR(INDEX('Base de datos gestión'!$D$28:$D$50,MATCH(C136,'Base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36" s="447" t="str">
        <f>IFERROR(INDEX('Base de datos gestión'!$E$28:$E$50,MATCH(C136,'Base de datos gestión'!$C$28:$C$50,0)), 0)</f>
        <v>El proceso inicia con la planificación de los servicios de ensayos de aptitud y estudios colaborativos (comparaciones interlaboratorios) y finaliza con la aplicación de la evaluación de la satisfacción del servicio.</v>
      </c>
      <c r="F136" s="474" t="s">
        <v>445</v>
      </c>
      <c r="G136" s="475" t="s">
        <v>632</v>
      </c>
      <c r="H136" s="474" t="s">
        <v>633</v>
      </c>
      <c r="I136" s="476" t="s">
        <v>634</v>
      </c>
      <c r="J136" s="476" t="s">
        <v>182</v>
      </c>
      <c r="K136" s="476" t="s">
        <v>258</v>
      </c>
      <c r="L136" s="476">
        <v>6</v>
      </c>
      <c r="M136" s="450" t="str">
        <f t="shared" si="56"/>
        <v>Baja</v>
      </c>
      <c r="N136" s="451">
        <f t="shared" si="51"/>
        <v>0.4</v>
      </c>
      <c r="O136" s="452" t="s">
        <v>597</v>
      </c>
      <c r="P136" s="451" t="str">
        <f>IF(NOT(ISERROR(MATCH(O136,'Tabla Impacto'!$B$222:$B$224,0))),'Tabla Impacto'!$F$224&amp;"Por favor no seleccionar los criterios de impacto(Afectación Económica o presupuestal y Pérdida Reputacional)",O136)</f>
        <v xml:space="preserve">     Entre 10 y 50 SMLMV </v>
      </c>
      <c r="Q136" s="453" t="str">
        <f>IF(OR(P136='[1]Tabla Impacto'!$C$12,P136='[1]Tabla Impacto'!$D$12),"Leve",IF(OR(P136='[1]Tabla Impacto'!$C$13,P136='[1]Tabla Impacto'!$D$13),"Menor",IF(OR(P136='[1]Tabla Impacto'!$C$14,P136='[1]Tabla Impacto'!$D$14),"Moderado",IF(OR(P136='[1]Tabla Impacto'!$C$15,P136='[1]Tabla Impacto'!$D$15),"Mayor",IF(OR(P136='[1]Tabla Impacto'!$C$16,P136='[1]Tabla Impacto'!$D$16),"Catastrófico","")))))</f>
        <v>Menor</v>
      </c>
      <c r="R136" s="452">
        <f t="shared" si="57"/>
        <v>0.4</v>
      </c>
      <c r="S136" s="454" t="str">
        <f t="shared" si="58"/>
        <v>Moderado</v>
      </c>
      <c r="T136" s="457">
        <v>1</v>
      </c>
      <c r="U136" s="477" t="s">
        <v>635</v>
      </c>
      <c r="V136" s="457" t="str">
        <f t="shared" si="49"/>
        <v>Probabilidad</v>
      </c>
      <c r="W136" s="458" t="s">
        <v>187</v>
      </c>
      <c r="X136" s="458" t="s">
        <v>188</v>
      </c>
      <c r="Y136" s="459" t="str">
        <f t="shared" si="59"/>
        <v>40%</v>
      </c>
      <c r="Z136" s="458" t="s">
        <v>189</v>
      </c>
      <c r="AA136" s="458" t="s">
        <v>190</v>
      </c>
      <c r="AB136" s="458" t="s">
        <v>191</v>
      </c>
      <c r="AC136" s="460">
        <f>IFERROR(IF(AND(V135="Probabilidad",V136="Probabilidad"),(AE135-(+AE135*Y136)),IF(AND(V135="Impacto",V136="Probabilidad"),(AE134-(+AE134*Y136)),IF(V136="Impacto",AE135,""))),"")</f>
        <v>0.216</v>
      </c>
      <c r="AD136" s="461" t="str">
        <f t="shared" si="60"/>
        <v>Baja</v>
      </c>
      <c r="AE136" s="462">
        <f t="shared" si="61"/>
        <v>0.216</v>
      </c>
      <c r="AF136" s="461" t="str">
        <f t="shared" si="62"/>
        <v>Leve</v>
      </c>
      <c r="AG136" s="462">
        <f>IFERROR(IF(AND(V135="Impacto",V136="Impacto"),(AG135-(+AG135*Y136)),IF(AND(V135="Probabilidad",V136="Impacto"),(AG134-(+AG134*Y136)),IF(V136="Probabilidad",AG135,""))),"")</f>
        <v>0.2</v>
      </c>
      <c r="AH136" s="463" t="str">
        <f t="shared" si="63"/>
        <v>Bajo</v>
      </c>
      <c r="AI136" s="464" t="s">
        <v>192</v>
      </c>
      <c r="AJ136" s="595"/>
      <c r="AK136" s="209"/>
      <c r="AL136" s="465"/>
      <c r="AM136" s="466"/>
      <c r="AN136" s="468"/>
    </row>
    <row r="137" spans="1:40" ht="409.5" x14ac:dyDescent="0.2">
      <c r="A137" s="469">
        <v>60</v>
      </c>
      <c r="B137" s="469" t="s">
        <v>630</v>
      </c>
      <c r="C137" s="470" t="s">
        <v>631</v>
      </c>
      <c r="D137" s="447" t="str">
        <f>IFERROR(INDEX('Base de datos gestión'!$D$28:$D$50,MATCH(C137,'Base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37" s="447" t="str">
        <f>IFERROR(INDEX('Base de datos gestión'!$E$28:$E$50,MATCH(C137,'Base de datos gestión'!$C$28:$C$50,0)), 0)</f>
        <v>El proceso inicia con la planificación de los servicios de ensayos de aptitud y estudios colaborativos (comparaciones interlaboratorios) y finaliza con la aplicación de la evaluación de la satisfacción del servicio.</v>
      </c>
      <c r="F137" s="474" t="s">
        <v>445</v>
      </c>
      <c r="G137" s="475" t="s">
        <v>632</v>
      </c>
      <c r="H137" s="474" t="s">
        <v>633</v>
      </c>
      <c r="I137" s="476" t="s">
        <v>634</v>
      </c>
      <c r="J137" s="476" t="s">
        <v>182</v>
      </c>
      <c r="K137" s="476" t="s">
        <v>258</v>
      </c>
      <c r="L137" s="476">
        <v>6</v>
      </c>
      <c r="M137" s="450" t="str">
        <f t="shared" si="56"/>
        <v>Baja</v>
      </c>
      <c r="N137" s="451">
        <f t="shared" si="51"/>
        <v>0.4</v>
      </c>
      <c r="O137" s="452" t="s">
        <v>597</v>
      </c>
      <c r="P137" s="451" t="str">
        <f>IF(NOT(ISERROR(MATCH(O137,'Tabla Impacto'!$B$222:$B$224,0))),'Tabla Impacto'!$F$224&amp;"Por favor no seleccionar los criterios de impacto(Afectación Económica o presupuestal y Pérdida Reputacional)",O137)</f>
        <v xml:space="preserve">     Entre 10 y 50 SMLMV </v>
      </c>
      <c r="Q137" s="453" t="str">
        <f>IF(OR(P137='[1]Tabla Impacto'!$C$12,P137='[1]Tabla Impacto'!$D$12),"Leve",IF(OR(P137='[1]Tabla Impacto'!$C$13,P137='[1]Tabla Impacto'!$D$13),"Menor",IF(OR(P137='[1]Tabla Impacto'!$C$14,P137='[1]Tabla Impacto'!$D$14),"Moderado",IF(OR(P137='[1]Tabla Impacto'!$C$15,P137='[1]Tabla Impacto'!$D$15),"Mayor",IF(OR(P137='[1]Tabla Impacto'!$C$16,P137='[1]Tabla Impacto'!$D$16),"Catastrófico","")))))</f>
        <v>Menor</v>
      </c>
      <c r="R137" s="452">
        <f t="shared" si="57"/>
        <v>0.4</v>
      </c>
      <c r="S137" s="454" t="str">
        <f t="shared" si="58"/>
        <v>Moderado</v>
      </c>
      <c r="T137" s="457">
        <v>2</v>
      </c>
      <c r="U137" s="477" t="s">
        <v>636</v>
      </c>
      <c r="V137" s="457" t="str">
        <f t="shared" si="49"/>
        <v>Probabilidad</v>
      </c>
      <c r="W137" s="458" t="s">
        <v>187</v>
      </c>
      <c r="X137" s="458" t="s">
        <v>188</v>
      </c>
      <c r="Y137" s="459" t="str">
        <f t="shared" si="59"/>
        <v>40%</v>
      </c>
      <c r="Z137" s="458" t="s">
        <v>189</v>
      </c>
      <c r="AA137" s="458" t="s">
        <v>190</v>
      </c>
      <c r="AB137" s="458" t="s">
        <v>191</v>
      </c>
      <c r="AC137" s="460">
        <f>IFERROR(IF(AND(V136="Probabilidad",V137="Probabilidad"),(AE136-(+AE136*Y137)),IF(AND(V136="Impacto",V137="Probabilidad"),(AE135-(+AE135*Y137)),IF(V137="Impacto",AE136,""))),"")</f>
        <v>0.12959999999999999</v>
      </c>
      <c r="AD137" s="461" t="str">
        <f t="shared" si="60"/>
        <v>Muy Baja</v>
      </c>
      <c r="AE137" s="462">
        <f t="shared" si="61"/>
        <v>0.12959999999999999</v>
      </c>
      <c r="AF137" s="461" t="str">
        <f t="shared" si="62"/>
        <v>Leve</v>
      </c>
      <c r="AG137" s="462">
        <f>IFERROR(IF(AND(V136="Impacto",V137="Impacto"),(AG136-(+AG136*Y137)),IF(AND(V136="Probabilidad",V137="Impacto"),(AG135-(+AG135*Y137)),IF(V137="Probabilidad",AG136,""))),"")</f>
        <v>0.2</v>
      </c>
      <c r="AH137" s="463" t="str">
        <f t="shared" si="63"/>
        <v>Bajo</v>
      </c>
      <c r="AI137" s="464" t="s">
        <v>192</v>
      </c>
      <c r="AJ137" s="596"/>
      <c r="AK137" s="209"/>
      <c r="AL137" s="476"/>
      <c r="AM137" s="480"/>
      <c r="AN137" s="468"/>
    </row>
    <row r="138" spans="1:40" ht="409.5" x14ac:dyDescent="0.2">
      <c r="A138" s="469">
        <v>60</v>
      </c>
      <c r="B138" s="469" t="s">
        <v>630</v>
      </c>
      <c r="C138" s="470" t="s">
        <v>631</v>
      </c>
      <c r="D138" s="447" t="str">
        <f>IFERROR(INDEX('Base de datos gestión'!$D$28:$D$50,MATCH(C138,'Base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38" s="447" t="str">
        <f>IFERROR(INDEX('Base de datos gestión'!$E$28:$E$50,MATCH(C138,'Base de datos gestión'!$C$28:$C$50,0)), 0)</f>
        <v>El proceso inicia con la planificación de los servicios de ensayos de aptitud y estudios colaborativos (comparaciones interlaboratorios) y finaliza con la aplicación de la evaluación de la satisfacción del servicio.</v>
      </c>
      <c r="F138" s="474" t="s">
        <v>445</v>
      </c>
      <c r="G138" s="475" t="s">
        <v>632</v>
      </c>
      <c r="H138" s="474" t="s">
        <v>637</v>
      </c>
      <c r="I138" s="476" t="s">
        <v>634</v>
      </c>
      <c r="J138" s="476" t="s">
        <v>182</v>
      </c>
      <c r="K138" s="476" t="s">
        <v>258</v>
      </c>
      <c r="L138" s="476">
        <v>6</v>
      </c>
      <c r="M138" s="450" t="str">
        <f t="shared" si="56"/>
        <v>Baja</v>
      </c>
      <c r="N138" s="451">
        <f t="shared" si="51"/>
        <v>0.4</v>
      </c>
      <c r="O138" s="452" t="s">
        <v>597</v>
      </c>
      <c r="P138" s="451" t="str">
        <f>IF(NOT(ISERROR(MATCH(O138,'Tabla Impacto'!$B$222:$B$224,0))),'Tabla Impacto'!$F$224&amp;"Por favor no seleccionar los criterios de impacto(Afectación Económica o presupuestal y Pérdida Reputacional)",O138)</f>
        <v xml:space="preserve">     Entre 10 y 50 SMLMV </v>
      </c>
      <c r="Q138" s="453" t="str">
        <f>IF(OR(P138='[1]Tabla Impacto'!$C$12,P138='[1]Tabla Impacto'!$D$12),"Leve",IF(OR(P138='[1]Tabla Impacto'!$C$13,P138='[1]Tabla Impacto'!$D$13),"Menor",IF(OR(P138='[1]Tabla Impacto'!$C$14,P138='[1]Tabla Impacto'!$D$14),"Moderado",IF(OR(P138='[1]Tabla Impacto'!$C$15,P138='[1]Tabla Impacto'!$D$15),"Mayor",IF(OR(P138='[1]Tabla Impacto'!$C$16,P138='[1]Tabla Impacto'!$D$16),"Catastrófico","")))))</f>
        <v>Menor</v>
      </c>
      <c r="R138" s="452">
        <f t="shared" si="57"/>
        <v>0.4</v>
      </c>
      <c r="S138" s="454" t="str">
        <f t="shared" si="58"/>
        <v>Moderado</v>
      </c>
      <c r="T138" s="457">
        <v>3</v>
      </c>
      <c r="U138" s="477" t="s">
        <v>638</v>
      </c>
      <c r="V138" s="457" t="str">
        <f t="shared" si="49"/>
        <v>Probabilidad</v>
      </c>
      <c r="W138" s="458" t="s">
        <v>187</v>
      </c>
      <c r="X138" s="458" t="s">
        <v>188</v>
      </c>
      <c r="Y138" s="459" t="str">
        <f t="shared" si="59"/>
        <v>40%</v>
      </c>
      <c r="Z138" s="458" t="s">
        <v>222</v>
      </c>
      <c r="AA138" s="458" t="s">
        <v>190</v>
      </c>
      <c r="AB138" s="458" t="s">
        <v>191</v>
      </c>
      <c r="AC138" s="460">
        <f>IFERROR(IF(AND(V137="Probabilidad",V138="Probabilidad"),(AE137-(+AE137*Y138)),IF(AND(V137="Impacto",V138="Probabilidad"),(AE136-(+AE136*Y138)),IF(V138="Impacto",AE137,""))),"")</f>
        <v>7.7759999999999996E-2</v>
      </c>
      <c r="AD138" s="461" t="str">
        <f t="shared" si="60"/>
        <v>Muy Baja</v>
      </c>
      <c r="AE138" s="462">
        <f t="shared" si="61"/>
        <v>7.7759999999999996E-2</v>
      </c>
      <c r="AF138" s="461" t="str">
        <f t="shared" si="62"/>
        <v>Leve</v>
      </c>
      <c r="AG138" s="462">
        <f>IFERROR(IF(AND(V137="Impacto",V138="Impacto"),(AG137-(+AG137*Y138)),IF(AND(V137="Probabilidad",V138="Impacto"),(AG136-(+AG136*Y138)),IF(V138="Probabilidad",AG137,""))),"")</f>
        <v>0.2</v>
      </c>
      <c r="AH138" s="463" t="str">
        <f t="shared" si="63"/>
        <v>Bajo</v>
      </c>
      <c r="AI138" s="464" t="s">
        <v>192</v>
      </c>
      <c r="AJ138" s="596"/>
      <c r="AK138" s="209"/>
      <c r="AL138" s="465"/>
      <c r="AM138" s="466"/>
      <c r="AN138" s="468"/>
    </row>
    <row r="139" spans="1:40" ht="409.5" x14ac:dyDescent="0.2">
      <c r="A139" s="478">
        <v>61</v>
      </c>
      <c r="B139" s="478" t="s">
        <v>639</v>
      </c>
      <c r="C139" s="479" t="s">
        <v>631</v>
      </c>
      <c r="D139" s="447" t="str">
        <f>IFERROR(INDEX('Base de datos gestión'!$D$28:$D$50,MATCH(C139,'Base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39" s="447" t="str">
        <f>IFERROR(INDEX('Base de datos gestión'!$E$28:$E$50,MATCH(C139,'Base de datos gestión'!$C$28:$C$50,0)), 0)</f>
        <v>El proceso inicia con la planificación de los servicios de ensayos de aptitud y estudios colaborativos (comparaciones interlaboratorios) y finaliza con la aplicación de la evaluación de la satisfacción del servicio.</v>
      </c>
      <c r="F139" s="474" t="s">
        <v>178</v>
      </c>
      <c r="G139" s="475" t="s">
        <v>640</v>
      </c>
      <c r="H139" s="474" t="s">
        <v>641</v>
      </c>
      <c r="I139" s="474" t="s">
        <v>642</v>
      </c>
      <c r="J139" s="476" t="s">
        <v>182</v>
      </c>
      <c r="K139" s="476" t="s">
        <v>258</v>
      </c>
      <c r="L139" s="476">
        <v>6</v>
      </c>
      <c r="M139" s="450" t="str">
        <f t="shared" si="56"/>
        <v>Baja</v>
      </c>
      <c r="N139" s="451">
        <f t="shared" si="51"/>
        <v>0.4</v>
      </c>
      <c r="O139" s="452" t="s">
        <v>214</v>
      </c>
      <c r="P139" s="451" t="str">
        <f>IF(NOT(ISERROR(MATCH(O139,'Tabla Impacto'!$B$222:$B$224,0))),'Tabla Impacto'!$F$224&amp;"Por favor no seleccionar los criterios de impacto(Afectación Económica o presupuestal y Pérdida Reputacional)",O139)</f>
        <v xml:space="preserve">     El riesgo afecta la imagen de la entidad con algunos usuarios de relevancia frente al logro de los objetivos</v>
      </c>
      <c r="Q139" s="453" t="str">
        <f>IF(OR(P139='[1]Tabla Impacto'!$C$12,P139='[1]Tabla Impacto'!$D$12),"Leve",IF(OR(P139='[1]Tabla Impacto'!$C$13,P139='[1]Tabla Impacto'!$D$13),"Menor",IF(OR(P139='[1]Tabla Impacto'!$C$14,P139='[1]Tabla Impacto'!$D$14),"Moderado",IF(OR(P139='[1]Tabla Impacto'!$C$15,P139='[1]Tabla Impacto'!$D$15),"Mayor",IF(OR(P139='[1]Tabla Impacto'!$C$16,P139='[1]Tabla Impacto'!$D$16),"Catastrófico","")))))</f>
        <v>Moderado</v>
      </c>
      <c r="R139" s="452">
        <f t="shared" si="57"/>
        <v>0.6</v>
      </c>
      <c r="S139" s="454" t="str">
        <f t="shared" si="58"/>
        <v>Moderado</v>
      </c>
      <c r="T139" s="457">
        <v>1</v>
      </c>
      <c r="U139" s="477" t="s">
        <v>643</v>
      </c>
      <c r="V139" s="457" t="str">
        <f t="shared" si="49"/>
        <v>Probabilidad</v>
      </c>
      <c r="W139" s="458" t="s">
        <v>187</v>
      </c>
      <c r="X139" s="458" t="s">
        <v>188</v>
      </c>
      <c r="Y139" s="459" t="str">
        <f t="shared" si="59"/>
        <v>40%</v>
      </c>
      <c r="Z139" s="458" t="s">
        <v>222</v>
      </c>
      <c r="AA139" s="458" t="s">
        <v>190</v>
      </c>
      <c r="AB139" s="458" t="s">
        <v>191</v>
      </c>
      <c r="AC139" s="460">
        <f>IFERROR(IF(AND(V138="Probabilidad",V139="Probabilidad"),(AE138-(+AE138*Y139)),IF(AND(V138="Impacto",V139="Probabilidad"),(AE137-(+AE137*Y139)),IF(V139="Impacto",AE138,""))),"")</f>
        <v>4.6655999999999996E-2</v>
      </c>
      <c r="AD139" s="461" t="str">
        <f t="shared" si="60"/>
        <v>Muy Baja</v>
      </c>
      <c r="AE139" s="462">
        <f t="shared" si="61"/>
        <v>4.6655999999999996E-2</v>
      </c>
      <c r="AF139" s="461" t="str">
        <f t="shared" si="62"/>
        <v>Leve</v>
      </c>
      <c r="AG139" s="462">
        <f>IFERROR(IF(AND(V138="Impacto",V139="Impacto"),(AG138-(+AG138*Y139)),IF(AND(V138="Probabilidad",V139="Impacto"),(AG137-(+AG137*Y139)),IF(V139="Probabilidad",AG138,""))),"")</f>
        <v>0.2</v>
      </c>
      <c r="AH139" s="463" t="str">
        <f t="shared" si="63"/>
        <v>Bajo</v>
      </c>
      <c r="AI139" s="464" t="s">
        <v>192</v>
      </c>
      <c r="AJ139" s="596"/>
      <c r="AK139" s="209"/>
      <c r="AL139" s="465"/>
      <c r="AM139" s="466"/>
      <c r="AN139" s="468"/>
    </row>
    <row r="140" spans="1:40" ht="409.5" x14ac:dyDescent="0.2">
      <c r="A140" s="446">
        <v>61</v>
      </c>
      <c r="B140" s="446" t="s">
        <v>639</v>
      </c>
      <c r="C140" s="447" t="s">
        <v>631</v>
      </c>
      <c r="D140" s="447" t="str">
        <f>IFERROR(INDEX('Base de datos gestión'!$D$28:$D$50,MATCH(C140,'Base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40" s="447" t="str">
        <f>IFERROR(INDEX('Base de datos gestión'!$E$28:$E$50,MATCH(C140,'Base de datos gestión'!$C$28:$C$50,0)), 0)</f>
        <v>El proceso inicia con la planificación de los servicios de ensayos de aptitud y estudios colaborativos (comparaciones interlaboratorios) y finaliza con la aplicación de la evaluación de la satisfacción del servicio.</v>
      </c>
      <c r="F140" s="474" t="s">
        <v>178</v>
      </c>
      <c r="G140" s="475" t="s">
        <v>640</v>
      </c>
      <c r="H140" s="474" t="s">
        <v>644</v>
      </c>
      <c r="I140" s="474" t="s">
        <v>642</v>
      </c>
      <c r="J140" s="476" t="s">
        <v>182</v>
      </c>
      <c r="K140" s="476" t="s">
        <v>258</v>
      </c>
      <c r="L140" s="476">
        <v>6</v>
      </c>
      <c r="M140" s="450" t="str">
        <f t="shared" si="56"/>
        <v>Baja</v>
      </c>
      <c r="N140" s="451">
        <f t="shared" si="51"/>
        <v>0.4</v>
      </c>
      <c r="O140" s="452" t="s">
        <v>214</v>
      </c>
      <c r="P140" s="451" t="str">
        <f>IF(NOT(ISERROR(MATCH(O140,'Tabla Impacto'!$B$222:$B$224,0))),'Tabla Impacto'!$F$224&amp;"Por favor no seleccionar los criterios de impacto(Afectación Económica o presupuestal y Pérdida Reputacional)",O140)</f>
        <v xml:space="preserve">     El riesgo afecta la imagen de la entidad con algunos usuarios de relevancia frente al logro de los objetivos</v>
      </c>
      <c r="Q140" s="453" t="str">
        <f>IF(OR(P140='[1]Tabla Impacto'!$C$12,P140='[1]Tabla Impacto'!$D$12),"Leve",IF(OR(P140='[1]Tabla Impacto'!$C$13,P140='[1]Tabla Impacto'!$D$13),"Menor",IF(OR(P140='[1]Tabla Impacto'!$C$14,P140='[1]Tabla Impacto'!$D$14),"Moderado",IF(OR(P140='[1]Tabla Impacto'!$C$15,P140='[1]Tabla Impacto'!$D$15),"Mayor",IF(OR(P140='[1]Tabla Impacto'!$C$16,P140='[1]Tabla Impacto'!$D$16),"Catastrófico","")))))</f>
        <v>Moderado</v>
      </c>
      <c r="R140" s="452">
        <f t="shared" si="57"/>
        <v>0.6</v>
      </c>
      <c r="S140" s="454" t="str">
        <f t="shared" si="58"/>
        <v>Moderado</v>
      </c>
      <c r="T140" s="457">
        <v>2</v>
      </c>
      <c r="U140" s="477" t="s">
        <v>645</v>
      </c>
      <c r="V140" s="457" t="str">
        <f t="shared" si="49"/>
        <v>Probabilidad</v>
      </c>
      <c r="W140" s="458" t="s">
        <v>187</v>
      </c>
      <c r="X140" s="458" t="s">
        <v>188</v>
      </c>
      <c r="Y140" s="459" t="str">
        <f t="shared" si="59"/>
        <v>40%</v>
      </c>
      <c r="Z140" s="458" t="s">
        <v>222</v>
      </c>
      <c r="AA140" s="458" t="s">
        <v>190</v>
      </c>
      <c r="AB140" s="458" t="s">
        <v>191</v>
      </c>
      <c r="AC140" s="460">
        <f>IFERROR(IF(V140="Probabilidad",(N140-(+N140*Y140)),IF(V140="Impacto",N140,"")),"")</f>
        <v>0.24</v>
      </c>
      <c r="AD140" s="461" t="str">
        <f t="shared" si="60"/>
        <v>Baja</v>
      </c>
      <c r="AE140" s="462">
        <f t="shared" si="61"/>
        <v>0.24</v>
      </c>
      <c r="AF140" s="461" t="str">
        <f t="shared" si="62"/>
        <v>Moderado</v>
      </c>
      <c r="AG140" s="462">
        <f>IFERROR(IF(V140="Impacto",(R140-(+R140*Y140)),IF(V140="Probabilidad",R140,"")),"")</f>
        <v>0.6</v>
      </c>
      <c r="AH140" s="463" t="str">
        <f t="shared" si="63"/>
        <v>Moderado</v>
      </c>
      <c r="AI140" s="464" t="s">
        <v>192</v>
      </c>
      <c r="AJ140" s="596"/>
      <c r="AK140" s="209"/>
      <c r="AL140" s="465"/>
      <c r="AM140" s="466"/>
      <c r="AN140" s="468"/>
    </row>
    <row r="141" spans="1:40" ht="409.5" x14ac:dyDescent="0.2">
      <c r="A141" s="469">
        <v>62</v>
      </c>
      <c r="B141" s="469" t="s">
        <v>646</v>
      </c>
      <c r="C141" s="470" t="s">
        <v>631</v>
      </c>
      <c r="D141" s="447" t="str">
        <f>IFERROR(INDEX('Base de datos gestión'!$D$28:$D$50,MATCH(C141,'Base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41" s="447" t="str">
        <f>IFERROR(INDEX('Base de datos gestión'!$E$28:$E$50,MATCH(C141,'Base de datos gestión'!$C$28:$C$50,0)), 0)</f>
        <v>El proceso inicia con la planificación de los servicios de ensayos de aptitud y estudios colaborativos (comparaciones interlaboratorios) y finaliza con la aplicación de la evaluación de la satisfacción del servicio.</v>
      </c>
      <c r="F141" s="474" t="s">
        <v>178</v>
      </c>
      <c r="G141" s="475" t="s">
        <v>647</v>
      </c>
      <c r="H141" s="476" t="s">
        <v>648</v>
      </c>
      <c r="I141" s="474" t="s">
        <v>649</v>
      </c>
      <c r="J141" s="476" t="s">
        <v>182</v>
      </c>
      <c r="K141" s="476" t="s">
        <v>183</v>
      </c>
      <c r="L141" s="476">
        <v>6</v>
      </c>
      <c r="M141" s="450" t="str">
        <f t="shared" si="56"/>
        <v>Baja</v>
      </c>
      <c r="N141" s="451">
        <f t="shared" si="51"/>
        <v>0.4</v>
      </c>
      <c r="O141" s="452" t="s">
        <v>214</v>
      </c>
      <c r="P141" s="451" t="str">
        <f>IF(NOT(ISERROR(MATCH(O141,'Tabla Impacto'!$B$222:$B$224,0))),'Tabla Impacto'!$F$224&amp;"Por favor no seleccionar los criterios de impacto(Afectación Económica o presupuestal y Pérdida Reputacional)",O141)</f>
        <v xml:space="preserve">     El riesgo afecta la imagen de la entidad con algunos usuarios de relevancia frente al logro de los objetivos</v>
      </c>
      <c r="Q141" s="453" t="str">
        <f>IF(OR(P141='[1]Tabla Impacto'!$C$12,P141='[1]Tabla Impacto'!$D$12),"Leve",IF(OR(P141='[1]Tabla Impacto'!$C$13,P141='[1]Tabla Impacto'!$D$13),"Menor",IF(OR(P141='[1]Tabla Impacto'!$C$14,P141='[1]Tabla Impacto'!$D$14),"Moderado",IF(OR(P141='[1]Tabla Impacto'!$C$15,P141='[1]Tabla Impacto'!$D$15),"Mayor",IF(OR(P141='[1]Tabla Impacto'!$C$16,P141='[1]Tabla Impacto'!$D$16),"Catastrófico","")))))</f>
        <v>Moderado</v>
      </c>
      <c r="R141" s="452">
        <f t="shared" si="57"/>
        <v>0.6</v>
      </c>
      <c r="S141" s="454" t="str">
        <f t="shared" si="58"/>
        <v>Moderado</v>
      </c>
      <c r="T141" s="457">
        <v>1</v>
      </c>
      <c r="U141" s="477" t="s">
        <v>650</v>
      </c>
      <c r="V141" s="457" t="str">
        <f t="shared" si="49"/>
        <v>Probabilidad</v>
      </c>
      <c r="W141" s="458" t="s">
        <v>187</v>
      </c>
      <c r="X141" s="458" t="s">
        <v>188</v>
      </c>
      <c r="Y141" s="459" t="str">
        <f t="shared" si="59"/>
        <v>40%</v>
      </c>
      <c r="Z141" s="458" t="s">
        <v>222</v>
      </c>
      <c r="AA141" s="458" t="s">
        <v>190</v>
      </c>
      <c r="AB141" s="458" t="s">
        <v>191</v>
      </c>
      <c r="AC141" s="460">
        <f>IFERROR(IF(AND(V140="Probabilidad",V141="Probabilidad"),(AE140-(+AE140*Y141)),IF(V141="Probabilidad",(N140-(+N140*Y141)),IF(V141="Impacto",AE140,""))),"")</f>
        <v>0.14399999999999999</v>
      </c>
      <c r="AD141" s="461" t="str">
        <f t="shared" si="60"/>
        <v>Muy Baja</v>
      </c>
      <c r="AE141" s="462">
        <f t="shared" si="61"/>
        <v>0.14399999999999999</v>
      </c>
      <c r="AF141" s="461" t="str">
        <f t="shared" si="62"/>
        <v>Moderado</v>
      </c>
      <c r="AG141" s="462">
        <f>IFERROR(IF(AND(V140="Impacto",V141="Impacto"),(AG134-(+AG134*Y141)),IF(V141="Impacto",($R$56-(+$R$56*Y141)),IF(V141="Probabilidad",AG134,""))),"")</f>
        <v>0.6</v>
      </c>
      <c r="AH141" s="463" t="str">
        <f t="shared" si="63"/>
        <v>Moderado</v>
      </c>
      <c r="AI141" s="464" t="s">
        <v>192</v>
      </c>
      <c r="AJ141" s="596"/>
      <c r="AK141" s="209"/>
      <c r="AL141" s="465"/>
      <c r="AM141" s="466"/>
      <c r="AN141" s="468"/>
    </row>
    <row r="142" spans="1:40" ht="409.5" x14ac:dyDescent="0.2">
      <c r="A142" s="469">
        <v>62</v>
      </c>
      <c r="B142" s="469" t="s">
        <v>646</v>
      </c>
      <c r="C142" s="470" t="s">
        <v>631</v>
      </c>
      <c r="D142" s="447" t="str">
        <f>IFERROR(INDEX('Base de datos gestión'!$D$28:$D$50,MATCH(C142,'Base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42" s="447" t="str">
        <f>IFERROR(INDEX('Base de datos gestión'!$E$28:$E$50,MATCH(C142,'Base de datos gestión'!$C$28:$C$50,0)), 0)</f>
        <v>El proceso inicia con la planificación de los servicios de ensayos de aptitud y estudios colaborativos (comparaciones interlaboratorios) y finaliza con la aplicación de la evaluación de la satisfacción del servicio.</v>
      </c>
      <c r="F142" s="474" t="s">
        <v>178</v>
      </c>
      <c r="G142" s="475" t="s">
        <v>647</v>
      </c>
      <c r="H142" s="476" t="s">
        <v>651</v>
      </c>
      <c r="I142" s="474" t="s">
        <v>649</v>
      </c>
      <c r="J142" s="476" t="s">
        <v>182</v>
      </c>
      <c r="K142" s="476" t="s">
        <v>183</v>
      </c>
      <c r="L142" s="476">
        <v>6</v>
      </c>
      <c r="M142" s="450" t="str">
        <f t="shared" si="56"/>
        <v>Baja</v>
      </c>
      <c r="N142" s="451">
        <f t="shared" si="51"/>
        <v>0.4</v>
      </c>
      <c r="O142" s="452" t="s">
        <v>214</v>
      </c>
      <c r="P142" s="451" t="str">
        <f>IF(NOT(ISERROR(MATCH(O142,'Tabla Impacto'!$B$222:$B$224,0))),'Tabla Impacto'!$F$224&amp;"Por favor no seleccionar los criterios de impacto(Afectación Económica o presupuestal y Pérdida Reputacional)",O142)</f>
        <v xml:space="preserve">     El riesgo afecta la imagen de la entidad con algunos usuarios de relevancia frente al logro de los objetivos</v>
      </c>
      <c r="Q142" s="453" t="str">
        <f>IF(OR(P142='[1]Tabla Impacto'!$C$12,P142='[1]Tabla Impacto'!$D$12),"Leve",IF(OR(P142='[1]Tabla Impacto'!$C$13,P142='[1]Tabla Impacto'!$D$13),"Menor",IF(OR(P142='[1]Tabla Impacto'!$C$14,P142='[1]Tabla Impacto'!$D$14),"Moderado",IF(OR(P142='[1]Tabla Impacto'!$C$15,P142='[1]Tabla Impacto'!$D$15),"Mayor",IF(OR(P142='[1]Tabla Impacto'!$C$16,P142='[1]Tabla Impacto'!$D$16),"Catastrófico","")))))</f>
        <v>Moderado</v>
      </c>
      <c r="R142" s="452">
        <f t="shared" si="57"/>
        <v>0.6</v>
      </c>
      <c r="S142" s="454" t="str">
        <f t="shared" si="58"/>
        <v>Moderado</v>
      </c>
      <c r="T142" s="457">
        <v>2</v>
      </c>
      <c r="U142" s="477" t="s">
        <v>652</v>
      </c>
      <c r="V142" s="457" t="str">
        <f t="shared" ref="V142:V221" si="64">IF(OR(W142="Preventivo",W142="Detectivo"),"Probabilidad",IF(W142="Correctivo","Impacto",""))</f>
        <v>Probabilidad</v>
      </c>
      <c r="W142" s="458" t="s">
        <v>187</v>
      </c>
      <c r="X142" s="458" t="s">
        <v>188</v>
      </c>
      <c r="Y142" s="459" t="str">
        <f t="shared" si="59"/>
        <v>40%</v>
      </c>
      <c r="Z142" s="458" t="s">
        <v>222</v>
      </c>
      <c r="AA142" s="458" t="s">
        <v>190</v>
      </c>
      <c r="AB142" s="458" t="s">
        <v>191</v>
      </c>
      <c r="AC142" s="460">
        <f>IFERROR(IF(AND(V141="Probabilidad",V142="Probabilidad"),(AE141-(+AE141*Y142)),IF(AND(V141="Impacto",V142="Probabilidad"),(AE140-(+AE140*Y142)),IF(V142="Impacto",AE141,""))),"")</f>
        <v>8.6399999999999991E-2</v>
      </c>
      <c r="AD142" s="461" t="str">
        <f t="shared" si="60"/>
        <v>Muy Baja</v>
      </c>
      <c r="AE142" s="462">
        <f t="shared" si="61"/>
        <v>8.6399999999999991E-2</v>
      </c>
      <c r="AF142" s="461" t="str">
        <f t="shared" si="62"/>
        <v>Moderado</v>
      </c>
      <c r="AG142" s="462">
        <f>IFERROR(IF(AND(V141="Impacto",V142="Impacto"),(AG141-(+AG141*Y142)),IF(AND(V141="Probabilidad",V142="Impacto"),(AG140-(+AG140*Y142)),IF(V142="Probabilidad",AG141,""))),"")</f>
        <v>0.6</v>
      </c>
      <c r="AH142" s="463" t="str">
        <f t="shared" si="63"/>
        <v>Moderado</v>
      </c>
      <c r="AI142" s="464" t="s">
        <v>192</v>
      </c>
      <c r="AJ142" s="596"/>
      <c r="AK142" s="209"/>
      <c r="AL142" s="465"/>
      <c r="AM142" s="466"/>
      <c r="AN142" s="468"/>
    </row>
    <row r="143" spans="1:40" ht="409.5" x14ac:dyDescent="0.2">
      <c r="A143" s="469">
        <v>62</v>
      </c>
      <c r="B143" s="469" t="s">
        <v>646</v>
      </c>
      <c r="C143" s="470" t="s">
        <v>631</v>
      </c>
      <c r="D143" s="447" t="str">
        <f>IFERROR(INDEX('Base de datos gestión'!$D$28:$D$50,MATCH(C143,'Base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43" s="447" t="str">
        <f>IFERROR(INDEX('Base de datos gestión'!$E$28:$E$50,MATCH(C143,'Base de datos gestión'!$C$28:$C$50,0)), 0)</f>
        <v>El proceso inicia con la planificación de los servicios de ensayos de aptitud y estudios colaborativos (comparaciones interlaboratorios) y finaliza con la aplicación de la evaluación de la satisfacción del servicio.</v>
      </c>
      <c r="F143" s="474" t="s">
        <v>178</v>
      </c>
      <c r="G143" s="475" t="s">
        <v>647</v>
      </c>
      <c r="H143" s="476" t="s">
        <v>653</v>
      </c>
      <c r="I143" s="474" t="s">
        <v>649</v>
      </c>
      <c r="J143" s="476" t="s">
        <v>182</v>
      </c>
      <c r="K143" s="476" t="s">
        <v>183</v>
      </c>
      <c r="L143" s="476">
        <v>6</v>
      </c>
      <c r="M143" s="450" t="str">
        <f t="shared" si="56"/>
        <v>Baja</v>
      </c>
      <c r="N143" s="451">
        <f t="shared" si="51"/>
        <v>0.4</v>
      </c>
      <c r="O143" s="452" t="s">
        <v>214</v>
      </c>
      <c r="P143" s="451" t="str">
        <f>IF(NOT(ISERROR(MATCH(O143,'Tabla Impacto'!$B$222:$B$224,0))),'Tabla Impacto'!$F$224&amp;"Por favor no seleccionar los criterios de impacto(Afectación Económica o presupuestal y Pérdida Reputacional)",O143)</f>
        <v xml:space="preserve">     El riesgo afecta la imagen de la entidad con algunos usuarios de relevancia frente al logro de los objetivos</v>
      </c>
      <c r="Q143" s="453" t="str">
        <f>IF(OR(P143='[1]Tabla Impacto'!$C$12,P143='[1]Tabla Impacto'!$D$12),"Leve",IF(OR(P143='[1]Tabla Impacto'!$C$13,P143='[1]Tabla Impacto'!$D$13),"Menor",IF(OR(P143='[1]Tabla Impacto'!$C$14,P143='[1]Tabla Impacto'!$D$14),"Moderado",IF(OR(P143='[1]Tabla Impacto'!$C$15,P143='[1]Tabla Impacto'!$D$15),"Mayor",IF(OR(P143='[1]Tabla Impacto'!$C$16,P143='[1]Tabla Impacto'!$D$16),"Catastrófico","")))))</f>
        <v>Moderado</v>
      </c>
      <c r="R143" s="452">
        <f t="shared" si="57"/>
        <v>0.6</v>
      </c>
      <c r="S143" s="454" t="str">
        <f t="shared" si="58"/>
        <v>Moderado</v>
      </c>
      <c r="T143" s="457">
        <v>3</v>
      </c>
      <c r="U143" s="477" t="s">
        <v>654</v>
      </c>
      <c r="V143" s="457" t="str">
        <f t="shared" si="64"/>
        <v>Probabilidad</v>
      </c>
      <c r="W143" s="458" t="s">
        <v>187</v>
      </c>
      <c r="X143" s="458" t="s">
        <v>188</v>
      </c>
      <c r="Y143" s="459" t="str">
        <f t="shared" si="59"/>
        <v>40%</v>
      </c>
      <c r="Z143" s="458" t="s">
        <v>222</v>
      </c>
      <c r="AA143" s="458" t="s">
        <v>190</v>
      </c>
      <c r="AB143" s="458" t="s">
        <v>191</v>
      </c>
      <c r="AC143" s="460">
        <f>IFERROR(IF(AND(V142="Probabilidad",V143="Probabilidad"),(AE142-(+AE142*Y143)),IF(AND(V142="Impacto",V143="Probabilidad"),(AE141-(+AE141*Y143)),IF(V143="Impacto",AE142,""))),"")</f>
        <v>5.183999999999999E-2</v>
      </c>
      <c r="AD143" s="461" t="str">
        <f t="shared" si="60"/>
        <v>Muy Baja</v>
      </c>
      <c r="AE143" s="462">
        <f t="shared" si="61"/>
        <v>5.183999999999999E-2</v>
      </c>
      <c r="AF143" s="461" t="str">
        <f t="shared" si="62"/>
        <v>Moderado</v>
      </c>
      <c r="AG143" s="462">
        <f>IFERROR(IF(AND(V142="Impacto",V143="Impacto"),(AG142-(+AG142*Y143)),IF(AND(V142="Probabilidad",V143="Impacto"),(AG141-(+AG141*Y143)),IF(V143="Probabilidad",AG142,""))),"")</f>
        <v>0.6</v>
      </c>
      <c r="AH143" s="463" t="str">
        <f t="shared" si="63"/>
        <v>Moderado</v>
      </c>
      <c r="AI143" s="464" t="s">
        <v>192</v>
      </c>
      <c r="AJ143" s="596"/>
      <c r="AK143" s="209"/>
      <c r="AL143" s="465"/>
      <c r="AM143" s="466"/>
      <c r="AN143" s="468"/>
    </row>
    <row r="144" spans="1:40" ht="409.5" x14ac:dyDescent="0.2">
      <c r="A144" s="469">
        <v>63</v>
      </c>
      <c r="B144" s="469" t="s">
        <v>655</v>
      </c>
      <c r="C144" s="470" t="s">
        <v>631</v>
      </c>
      <c r="D144" s="447" t="str">
        <f>IFERROR(INDEX('Base de datos gestión'!$D$28:$D$50,MATCH(C144,'Base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44" s="447" t="str">
        <f>IFERROR(INDEX('Base de datos gestión'!$E$28:$E$50,MATCH(C144,'Base de datos gestión'!$C$28:$C$50,0)), 0)</f>
        <v>El proceso inicia con la planificación de los servicios de ensayos de aptitud y estudios colaborativos (comparaciones interlaboratorios) y finaliza con la aplicación de la evaluación de la satisfacción del servicio.</v>
      </c>
      <c r="F144" s="474" t="s">
        <v>178</v>
      </c>
      <c r="G144" s="494" t="s">
        <v>656</v>
      </c>
      <c r="H144" s="476" t="s">
        <v>657</v>
      </c>
      <c r="I144" s="474" t="s">
        <v>658</v>
      </c>
      <c r="J144" s="476" t="s">
        <v>182</v>
      </c>
      <c r="K144" s="476" t="s">
        <v>183</v>
      </c>
      <c r="L144" s="476">
        <v>6</v>
      </c>
      <c r="M144" s="450" t="str">
        <f t="shared" si="56"/>
        <v>Baja</v>
      </c>
      <c r="N144" s="451">
        <f t="shared" si="51"/>
        <v>0.4</v>
      </c>
      <c r="O144" s="452" t="s">
        <v>214</v>
      </c>
      <c r="P144" s="451" t="str">
        <f>IF(NOT(ISERROR(MATCH(O144,'Tabla Impacto'!$B$222:$B$224,0))),'Tabla Impacto'!$F$224&amp;"Por favor no seleccionar los criterios de impacto(Afectación Económica o presupuestal y Pérdida Reputacional)",O144)</f>
        <v xml:space="preserve">     El riesgo afecta la imagen de la entidad con algunos usuarios de relevancia frente al logro de los objetivos</v>
      </c>
      <c r="Q144" s="453" t="str">
        <f>IF(OR(P144='[1]Tabla Impacto'!$C$12,P144='[1]Tabla Impacto'!$D$12),"Leve",IF(OR(P144='[1]Tabla Impacto'!$C$13,P144='[1]Tabla Impacto'!$D$13),"Menor",IF(OR(P144='[1]Tabla Impacto'!$C$14,P144='[1]Tabla Impacto'!$D$14),"Moderado",IF(OR(P144='[1]Tabla Impacto'!$C$15,P144='[1]Tabla Impacto'!$D$15),"Mayor",IF(OR(P144='[1]Tabla Impacto'!$C$16,P144='[1]Tabla Impacto'!$D$16),"Catastrófico","")))))</f>
        <v>Moderado</v>
      </c>
      <c r="R144" s="452">
        <f t="shared" si="57"/>
        <v>0.6</v>
      </c>
      <c r="S144" s="454" t="str">
        <f t="shared" si="58"/>
        <v>Moderado</v>
      </c>
      <c r="T144" s="457">
        <v>1</v>
      </c>
      <c r="U144" s="477" t="s">
        <v>659</v>
      </c>
      <c r="V144" s="457" t="str">
        <f t="shared" si="64"/>
        <v>Probabilidad</v>
      </c>
      <c r="W144" s="458" t="s">
        <v>187</v>
      </c>
      <c r="X144" s="458" t="s">
        <v>188</v>
      </c>
      <c r="Y144" s="459" t="str">
        <f t="shared" si="59"/>
        <v>40%</v>
      </c>
      <c r="Z144" s="458" t="s">
        <v>222</v>
      </c>
      <c r="AA144" s="458" t="s">
        <v>190</v>
      </c>
      <c r="AB144" s="458" t="s">
        <v>191</v>
      </c>
      <c r="AC144" s="460">
        <f>IFERROR(IF(AND(V143="Probabilidad",V144="Probabilidad"),(AE143-(+AE143*Y144)),IF(AND(V143="Impacto",V144="Probabilidad"),(AE142-(+AE142*Y144)),IF(V144="Impacto",AE143,""))),"")</f>
        <v>3.1103999999999993E-2</v>
      </c>
      <c r="AD144" s="461" t="str">
        <f t="shared" si="60"/>
        <v>Muy Baja</v>
      </c>
      <c r="AE144" s="462">
        <f t="shared" si="61"/>
        <v>3.1103999999999993E-2</v>
      </c>
      <c r="AF144" s="461" t="str">
        <f t="shared" si="62"/>
        <v>Moderado</v>
      </c>
      <c r="AG144" s="462">
        <f>IFERROR(IF(AND(V143="Impacto",V144="Impacto"),(AG143-(+AG143*Y144)),IF(AND(V143="Probabilidad",V144="Impacto"),(AG142-(+AG142*Y144)),IF(V144="Probabilidad",AG143,""))),"")</f>
        <v>0.6</v>
      </c>
      <c r="AH144" s="463" t="str">
        <f t="shared" si="63"/>
        <v>Moderado</v>
      </c>
      <c r="AI144" s="464" t="s">
        <v>192</v>
      </c>
      <c r="AJ144" s="596"/>
      <c r="AK144" s="209"/>
      <c r="AL144" s="465"/>
      <c r="AM144" s="466"/>
      <c r="AN144" s="468"/>
    </row>
    <row r="145" spans="1:40" ht="409.5" x14ac:dyDescent="0.2">
      <c r="A145" s="478">
        <v>63</v>
      </c>
      <c r="B145" s="478" t="s">
        <v>655</v>
      </c>
      <c r="C145" s="479" t="s">
        <v>631</v>
      </c>
      <c r="D145" s="447" t="str">
        <f>IFERROR(INDEX('Base de datos gestión'!$D$28:$D$50,MATCH(C145,'Base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45" s="447" t="str">
        <f>IFERROR(INDEX('Base de datos gestión'!$E$28:$E$50,MATCH(C145,'Base de datos gestión'!$C$28:$C$50,0)), 0)</f>
        <v>El proceso inicia con la planificación de los servicios de ensayos de aptitud y estudios colaborativos (comparaciones interlaboratorios) y finaliza con la aplicación de la evaluación de la satisfacción del servicio.</v>
      </c>
      <c r="F145" s="474" t="s">
        <v>178</v>
      </c>
      <c r="G145" s="475" t="s">
        <v>656</v>
      </c>
      <c r="H145" s="495" t="s">
        <v>660</v>
      </c>
      <c r="I145" s="474" t="s">
        <v>658</v>
      </c>
      <c r="J145" s="476" t="s">
        <v>182</v>
      </c>
      <c r="K145" s="476" t="s">
        <v>183</v>
      </c>
      <c r="L145" s="476">
        <v>6</v>
      </c>
      <c r="M145" s="450" t="str">
        <f t="shared" si="56"/>
        <v>Baja</v>
      </c>
      <c r="N145" s="451">
        <f t="shared" si="51"/>
        <v>0.4</v>
      </c>
      <c r="O145" s="452" t="s">
        <v>214</v>
      </c>
      <c r="P145" s="451" t="str">
        <f>IF(NOT(ISERROR(MATCH(O145,'Tabla Impacto'!$B$222:$B$224,0))),'Tabla Impacto'!$F$224&amp;"Por favor no seleccionar los criterios de impacto(Afectación Económica o presupuestal y Pérdida Reputacional)",O145)</f>
        <v xml:space="preserve">     El riesgo afecta la imagen de la entidad con algunos usuarios de relevancia frente al logro de los objetivos</v>
      </c>
      <c r="Q145" s="453" t="str">
        <f>IF(OR(P145='[1]Tabla Impacto'!$C$12,P145='[1]Tabla Impacto'!$D$12),"Leve",IF(OR(P145='[1]Tabla Impacto'!$C$13,P145='[1]Tabla Impacto'!$D$13),"Menor",IF(OR(P145='[1]Tabla Impacto'!$C$14,P145='[1]Tabla Impacto'!$D$14),"Moderado",IF(OR(P145='[1]Tabla Impacto'!$C$15,P145='[1]Tabla Impacto'!$D$15),"Mayor",IF(OR(P145='[1]Tabla Impacto'!$C$16,P145='[1]Tabla Impacto'!$D$16),"Catastrófico","")))))</f>
        <v>Moderado</v>
      </c>
      <c r="R145" s="452">
        <f t="shared" si="57"/>
        <v>0.6</v>
      </c>
      <c r="S145" s="454" t="str">
        <f t="shared" si="58"/>
        <v>Moderado</v>
      </c>
      <c r="T145" s="457">
        <v>2</v>
      </c>
      <c r="U145" s="477" t="s">
        <v>661</v>
      </c>
      <c r="V145" s="457" t="str">
        <f t="shared" si="64"/>
        <v>Probabilidad</v>
      </c>
      <c r="W145" s="458" t="s">
        <v>187</v>
      </c>
      <c r="X145" s="458" t="s">
        <v>188</v>
      </c>
      <c r="Y145" s="459" t="str">
        <f t="shared" si="59"/>
        <v>40%</v>
      </c>
      <c r="Z145" s="458" t="s">
        <v>222</v>
      </c>
      <c r="AA145" s="458" t="s">
        <v>190</v>
      </c>
      <c r="AB145" s="458" t="s">
        <v>191</v>
      </c>
      <c r="AC145" s="460">
        <f>IFERROR(IF(AND(V144="Probabilidad",V145="Probabilidad"),(AE144-(+AE144*Y145)),IF(AND(V144="Impacto",V145="Probabilidad"),(AE143-(+AE143*Y145)),IF(V145="Impacto",AE144,""))),"")</f>
        <v>1.8662399999999996E-2</v>
      </c>
      <c r="AD145" s="461" t="str">
        <f t="shared" si="60"/>
        <v>Muy Baja</v>
      </c>
      <c r="AE145" s="462">
        <f t="shared" si="61"/>
        <v>1.8662399999999996E-2</v>
      </c>
      <c r="AF145" s="461" t="str">
        <f t="shared" si="62"/>
        <v>Moderado</v>
      </c>
      <c r="AG145" s="462">
        <f>IFERROR(IF(AND(V144="Impacto",V145="Impacto"),(AG144-(+AG144*Y145)),IF(AND(V144="Probabilidad",V145="Impacto"),(AG143-(+AG143*Y145)),IF(V145="Probabilidad",AG144,""))),"")</f>
        <v>0.6</v>
      </c>
      <c r="AH145" s="463" t="str">
        <f t="shared" si="63"/>
        <v>Moderado</v>
      </c>
      <c r="AI145" s="464" t="s">
        <v>192</v>
      </c>
      <c r="AJ145" s="596"/>
      <c r="AK145" s="209"/>
      <c r="AL145" s="465"/>
      <c r="AM145" s="466"/>
      <c r="AN145" s="468"/>
    </row>
    <row r="146" spans="1:40" ht="409.5" x14ac:dyDescent="0.2">
      <c r="A146" s="446">
        <v>63</v>
      </c>
      <c r="B146" s="446" t="s">
        <v>655</v>
      </c>
      <c r="C146" s="447" t="s">
        <v>631</v>
      </c>
      <c r="D146" s="447" t="str">
        <f>IFERROR(INDEX('Base de datos gestión'!$D$28:$D$50,MATCH(C146,'Base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46" s="447" t="str">
        <f>IFERROR(INDEX('Base de datos gestión'!$E$28:$E$50,MATCH(C146,'Base de datos gestión'!$C$28:$C$50,0)), 0)</f>
        <v>El proceso inicia con la planificación de los servicios de ensayos de aptitud y estudios colaborativos (comparaciones interlaboratorios) y finaliza con la aplicación de la evaluación de la satisfacción del servicio.</v>
      </c>
      <c r="F146" s="474" t="s">
        <v>178</v>
      </c>
      <c r="G146" s="475" t="s">
        <v>656</v>
      </c>
      <c r="H146" s="495" t="s">
        <v>662</v>
      </c>
      <c r="I146" s="474" t="s">
        <v>658</v>
      </c>
      <c r="J146" s="476" t="s">
        <v>182</v>
      </c>
      <c r="K146" s="476" t="s">
        <v>183</v>
      </c>
      <c r="L146" s="476">
        <v>6</v>
      </c>
      <c r="M146" s="450" t="str">
        <f t="shared" si="56"/>
        <v>Baja</v>
      </c>
      <c r="N146" s="451">
        <f t="shared" si="51"/>
        <v>0.4</v>
      </c>
      <c r="O146" s="452" t="s">
        <v>214</v>
      </c>
      <c r="P146" s="451" t="str">
        <f>IF(NOT(ISERROR(MATCH(O146,'Tabla Impacto'!$B$222:$B$224,0))),'Tabla Impacto'!$F$224&amp;"Por favor no seleccionar los criterios de impacto(Afectación Económica o presupuestal y Pérdida Reputacional)",O146)</f>
        <v xml:space="preserve">     El riesgo afecta la imagen de la entidad con algunos usuarios de relevancia frente al logro de los objetivos</v>
      </c>
      <c r="Q146" s="453" t="str">
        <f>IF(OR(P146='[1]Tabla Impacto'!$C$12,P146='[1]Tabla Impacto'!$D$12),"Leve",IF(OR(P146='[1]Tabla Impacto'!$C$13,P146='[1]Tabla Impacto'!$D$13),"Menor",IF(OR(P146='[1]Tabla Impacto'!$C$14,P146='[1]Tabla Impacto'!$D$14),"Moderado",IF(OR(P146='[1]Tabla Impacto'!$C$15,P146='[1]Tabla Impacto'!$D$15),"Mayor",IF(OR(P146='[1]Tabla Impacto'!$C$16,P146='[1]Tabla Impacto'!$D$16),"Catastrófico","")))))</f>
        <v>Moderado</v>
      </c>
      <c r="R146" s="452">
        <f t="shared" si="57"/>
        <v>0.6</v>
      </c>
      <c r="S146" s="454" t="str">
        <f t="shared" si="58"/>
        <v>Moderado</v>
      </c>
      <c r="T146" s="457">
        <v>3</v>
      </c>
      <c r="U146" s="477" t="s">
        <v>663</v>
      </c>
      <c r="V146" s="457" t="str">
        <f t="shared" si="64"/>
        <v>Probabilidad</v>
      </c>
      <c r="W146" s="458" t="s">
        <v>187</v>
      </c>
      <c r="X146" s="458" t="s">
        <v>188</v>
      </c>
      <c r="Y146" s="459" t="str">
        <f t="shared" si="59"/>
        <v>40%</v>
      </c>
      <c r="Z146" s="458" t="s">
        <v>222</v>
      </c>
      <c r="AA146" s="458" t="s">
        <v>190</v>
      </c>
      <c r="AB146" s="458" t="s">
        <v>191</v>
      </c>
      <c r="AC146" s="460">
        <f>IFERROR(IF(V146="Probabilidad",(N146-(+N146*Y146)),IF(V146="Impacto",N146,"")),"")</f>
        <v>0.24</v>
      </c>
      <c r="AD146" s="461" t="str">
        <f t="shared" si="60"/>
        <v>Baja</v>
      </c>
      <c r="AE146" s="462">
        <f t="shared" si="61"/>
        <v>0.24</v>
      </c>
      <c r="AF146" s="461" t="str">
        <f t="shared" si="62"/>
        <v>Moderado</v>
      </c>
      <c r="AG146" s="462">
        <f>IFERROR(IF(V146="Impacto",(R146-(+R146*Y146)),IF(V146="Probabilidad",R146,"")),"")</f>
        <v>0.6</v>
      </c>
      <c r="AH146" s="463" t="str">
        <f t="shared" si="63"/>
        <v>Moderado</v>
      </c>
      <c r="AI146" s="464" t="s">
        <v>192</v>
      </c>
      <c r="AJ146" s="596"/>
      <c r="AK146" s="209"/>
      <c r="AL146" s="465"/>
      <c r="AM146" s="466"/>
      <c r="AN146" s="468"/>
    </row>
    <row r="147" spans="1:40" ht="409.5" x14ac:dyDescent="0.2">
      <c r="A147" s="469">
        <v>63</v>
      </c>
      <c r="B147" s="469" t="s">
        <v>655</v>
      </c>
      <c r="C147" s="470" t="s">
        <v>631</v>
      </c>
      <c r="D147" s="447" t="str">
        <f>IFERROR(INDEX('Base de datos gestión'!$D$28:$D$50,MATCH(C147,'Base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47" s="447" t="str">
        <f>IFERROR(INDEX('Base de datos gestión'!$E$28:$E$50,MATCH(C147,'Base de datos gestión'!$C$28:$C$50,0)), 0)</f>
        <v>El proceso inicia con la planificación de los servicios de ensayos de aptitud y estudios colaborativos (comparaciones interlaboratorios) y finaliza con la aplicación de la evaluación de la satisfacción del servicio.</v>
      </c>
      <c r="F147" s="474" t="s">
        <v>178</v>
      </c>
      <c r="G147" s="475" t="s">
        <v>656</v>
      </c>
      <c r="H147" s="495" t="s">
        <v>662</v>
      </c>
      <c r="I147" s="474" t="s">
        <v>658</v>
      </c>
      <c r="J147" s="476" t="s">
        <v>182</v>
      </c>
      <c r="K147" s="476" t="s">
        <v>183</v>
      </c>
      <c r="L147" s="476">
        <v>6</v>
      </c>
      <c r="M147" s="450" t="str">
        <f t="shared" si="56"/>
        <v>Baja</v>
      </c>
      <c r="N147" s="451">
        <f t="shared" si="51"/>
        <v>0.4</v>
      </c>
      <c r="O147" s="452" t="s">
        <v>214</v>
      </c>
      <c r="P147" s="451" t="str">
        <f>IF(NOT(ISERROR(MATCH(O147,'Tabla Impacto'!$B$222:$B$224,0))),'Tabla Impacto'!$F$224&amp;"Por favor no seleccionar los criterios de impacto(Afectación Económica o presupuestal y Pérdida Reputacional)",O147)</f>
        <v xml:space="preserve">     El riesgo afecta la imagen de la entidad con algunos usuarios de relevancia frente al logro de los objetivos</v>
      </c>
      <c r="Q147" s="453" t="str">
        <f>IF(OR(P147='[1]Tabla Impacto'!$C$12,P147='[1]Tabla Impacto'!$D$12),"Leve",IF(OR(P147='[1]Tabla Impacto'!$C$13,P147='[1]Tabla Impacto'!$D$13),"Menor",IF(OR(P147='[1]Tabla Impacto'!$C$14,P147='[1]Tabla Impacto'!$D$14),"Moderado",IF(OR(P147='[1]Tabla Impacto'!$C$15,P147='[1]Tabla Impacto'!$D$15),"Mayor",IF(OR(P147='[1]Tabla Impacto'!$C$16,P147='[1]Tabla Impacto'!$D$16),"Catastrófico","")))))</f>
        <v>Moderado</v>
      </c>
      <c r="R147" s="452">
        <f t="shared" si="57"/>
        <v>0.6</v>
      </c>
      <c r="S147" s="454" t="str">
        <f t="shared" si="58"/>
        <v>Moderado</v>
      </c>
      <c r="T147" s="457">
        <v>4</v>
      </c>
      <c r="U147" s="477" t="s">
        <v>664</v>
      </c>
      <c r="V147" s="457" t="str">
        <f>IF(OR(W147="Preventivo",W147="Detectivo"),"Probabilidad",IF(W147="Correctivo","Impacto",""))</f>
        <v>Probabilidad</v>
      </c>
      <c r="W147" s="458" t="s">
        <v>187</v>
      </c>
      <c r="X147" s="458" t="s">
        <v>188</v>
      </c>
      <c r="Y147" s="459" t="str">
        <f t="shared" si="59"/>
        <v>40%</v>
      </c>
      <c r="Z147" s="458" t="s">
        <v>222</v>
      </c>
      <c r="AA147" s="458" t="s">
        <v>190</v>
      </c>
      <c r="AB147" s="458" t="s">
        <v>191</v>
      </c>
      <c r="AC147" s="460">
        <f>IFERROR(IF(AND(V146="Probabilidad",V147="Probabilidad"),(AE146-(+AE146*Y147)),IF(V147="Probabilidad",(N146-(+N146*Y147)),IF(V147="Impacto",AE146,""))),"")</f>
        <v>0.14399999999999999</v>
      </c>
      <c r="AD147" s="461" t="str">
        <f t="shared" si="60"/>
        <v>Muy Baja</v>
      </c>
      <c r="AE147" s="462">
        <f t="shared" si="61"/>
        <v>0.14399999999999999</v>
      </c>
      <c r="AF147" s="461" t="str">
        <f t="shared" si="62"/>
        <v>Moderado</v>
      </c>
      <c r="AG147" s="462">
        <f>IFERROR(IF(AND(V146="Impacto",V147="Impacto"),(AG140-(+AG140*Y147)),IF(V147="Impacto",($R$50-(+$R$50*Y147)),IF(V147="Probabilidad",AG140,""))),"")</f>
        <v>0.6</v>
      </c>
      <c r="AH147" s="463" t="str">
        <f t="shared" si="63"/>
        <v>Moderado</v>
      </c>
      <c r="AI147" s="464" t="s">
        <v>192</v>
      </c>
      <c r="AJ147" s="596"/>
      <c r="AK147" s="209"/>
      <c r="AL147" s="465"/>
      <c r="AM147" s="466"/>
      <c r="AN147" s="468"/>
    </row>
    <row r="148" spans="1:40" ht="409.5" x14ac:dyDescent="0.2">
      <c r="A148" s="469">
        <v>64</v>
      </c>
      <c r="B148" s="469" t="s">
        <v>665</v>
      </c>
      <c r="C148" s="470" t="s">
        <v>631</v>
      </c>
      <c r="D148" s="447" t="str">
        <f>IFERROR(INDEX('Base de datos gestión'!$D$28:$D$50,MATCH(C148,'Base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48" s="447" t="str">
        <f>IFERROR(INDEX('Base de datos gestión'!$E$28:$E$50,MATCH(C148,'Base de datos gestión'!$C$28:$C$50,0)), 0)</f>
        <v>El proceso inicia con la planificación de los servicios de ensayos de aptitud y estudios colaborativos (comparaciones interlaboratorios) y finaliza con la aplicación de la evaluación de la satisfacción del servicio.</v>
      </c>
      <c r="F148" s="474" t="s">
        <v>178</v>
      </c>
      <c r="G148" s="475" t="s">
        <v>666</v>
      </c>
      <c r="H148" s="476" t="s">
        <v>667</v>
      </c>
      <c r="I148" s="476" t="s">
        <v>668</v>
      </c>
      <c r="J148" s="476" t="s">
        <v>182</v>
      </c>
      <c r="K148" s="476" t="s">
        <v>258</v>
      </c>
      <c r="L148" s="476">
        <v>6</v>
      </c>
      <c r="M148" s="450" t="str">
        <f t="shared" si="56"/>
        <v>Baja</v>
      </c>
      <c r="N148" s="451">
        <f t="shared" si="51"/>
        <v>0.4</v>
      </c>
      <c r="O148" s="452" t="s">
        <v>214</v>
      </c>
      <c r="P148" s="451" t="str">
        <f>IF(NOT(ISERROR(MATCH(O148,'Tabla Impacto'!$B$222:$B$224,0))),'Tabla Impacto'!$F$224&amp;"Por favor no seleccionar los criterios de impacto(Afectación Económica o presupuestal y Pérdida Reputacional)",O148)</f>
        <v xml:space="preserve">     El riesgo afecta la imagen de la entidad con algunos usuarios de relevancia frente al logro de los objetivos</v>
      </c>
      <c r="Q148" s="453" t="str">
        <f>IF(OR(P148='[1]Tabla Impacto'!$C$12,P148='[1]Tabla Impacto'!$D$12),"Leve",IF(OR(P148='[1]Tabla Impacto'!$C$13,P148='[1]Tabla Impacto'!$D$13),"Menor",IF(OR(P148='[1]Tabla Impacto'!$C$14,P148='[1]Tabla Impacto'!$D$14),"Moderado",IF(OR(P148='[1]Tabla Impacto'!$C$15,P148='[1]Tabla Impacto'!$D$15),"Mayor",IF(OR(P148='[1]Tabla Impacto'!$C$16,P148='[1]Tabla Impacto'!$D$16),"Catastrófico","")))))</f>
        <v>Moderado</v>
      </c>
      <c r="R148" s="452">
        <f t="shared" si="57"/>
        <v>0.6</v>
      </c>
      <c r="S148" s="454" t="str">
        <f t="shared" si="58"/>
        <v>Moderado</v>
      </c>
      <c r="T148" s="457">
        <v>1</v>
      </c>
      <c r="U148" s="477" t="s">
        <v>669</v>
      </c>
      <c r="V148" s="457" t="str">
        <f t="shared" si="64"/>
        <v>Probabilidad</v>
      </c>
      <c r="W148" s="458" t="s">
        <v>187</v>
      </c>
      <c r="X148" s="458" t="s">
        <v>188</v>
      </c>
      <c r="Y148" s="459" t="str">
        <f t="shared" si="59"/>
        <v>40%</v>
      </c>
      <c r="Z148" s="458" t="s">
        <v>222</v>
      </c>
      <c r="AA148" s="458" t="s">
        <v>190</v>
      </c>
      <c r="AB148" s="458" t="s">
        <v>191</v>
      </c>
      <c r="AC148" s="460">
        <f>IFERROR(IF(AND(V147="Probabilidad",V148="Probabilidad"),(AE147-(+AE147*Y148)),IF(AND(V147="Impacto",V148="Probabilidad"),(AE146-(+AE146*Y148)),IF(V148="Impacto",AE147,""))),"")</f>
        <v>8.6399999999999991E-2</v>
      </c>
      <c r="AD148" s="461" t="str">
        <f t="shared" si="60"/>
        <v>Muy Baja</v>
      </c>
      <c r="AE148" s="462">
        <f t="shared" si="61"/>
        <v>8.6399999999999991E-2</v>
      </c>
      <c r="AF148" s="461" t="str">
        <f t="shared" si="62"/>
        <v>Moderado</v>
      </c>
      <c r="AG148" s="462">
        <f>IFERROR(IF(AND(V147="Impacto",V148="Impacto"),(AG147-(+AG147*Y148)),IF(AND(V147="Probabilidad",V148="Impacto"),(AG146-(+AG146*Y148)),IF(V148="Probabilidad",AG147,""))),"")</f>
        <v>0.6</v>
      </c>
      <c r="AH148" s="463" t="str">
        <f t="shared" si="63"/>
        <v>Moderado</v>
      </c>
      <c r="AI148" s="464" t="s">
        <v>192</v>
      </c>
      <c r="AJ148" s="596"/>
      <c r="AK148" s="209"/>
      <c r="AL148" s="465"/>
      <c r="AM148" s="466"/>
      <c r="AN148" s="468"/>
    </row>
    <row r="149" spans="1:40" ht="409.5" x14ac:dyDescent="0.2">
      <c r="A149" s="469">
        <v>64</v>
      </c>
      <c r="B149" s="469" t="s">
        <v>665</v>
      </c>
      <c r="C149" s="470" t="s">
        <v>631</v>
      </c>
      <c r="D149" s="447" t="str">
        <f>IFERROR(INDEX('Base de datos gestión'!$D$28:$D$50,MATCH(C149,'Base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49" s="447" t="str">
        <f>IFERROR(INDEX('Base de datos gestión'!$E$28:$E$50,MATCH(C149,'Base de datos gestión'!$C$28:$C$50,0)), 0)</f>
        <v>El proceso inicia con la planificación de los servicios de ensayos de aptitud y estudios colaborativos (comparaciones interlaboratorios) y finaliza con la aplicación de la evaluación de la satisfacción del servicio.</v>
      </c>
      <c r="F149" s="474" t="s">
        <v>178</v>
      </c>
      <c r="G149" s="475" t="s">
        <v>666</v>
      </c>
      <c r="H149" s="495" t="s">
        <v>670</v>
      </c>
      <c r="I149" s="476" t="s">
        <v>668</v>
      </c>
      <c r="J149" s="476" t="s">
        <v>182</v>
      </c>
      <c r="K149" s="476" t="s">
        <v>258</v>
      </c>
      <c r="L149" s="476">
        <v>6</v>
      </c>
      <c r="M149" s="450" t="str">
        <f t="shared" si="56"/>
        <v>Baja</v>
      </c>
      <c r="N149" s="451">
        <f t="shared" ref="N149:N212" si="65">IF(M149="","",IF(M149="Muy Baja",0.2,IF(M149="Baja",0.4,IF(M149="Media",0.6,IF(M149="Alta",0.8,IF(M149="Muy Alta",1,))))))</f>
        <v>0.4</v>
      </c>
      <c r="O149" s="452" t="s">
        <v>214</v>
      </c>
      <c r="P149" s="451" t="str">
        <f>IF(NOT(ISERROR(MATCH(O149,'Tabla Impacto'!$B$222:$B$224,0))),'Tabla Impacto'!$F$224&amp;"Por favor no seleccionar los criterios de impacto(Afectación Económica o presupuestal y Pérdida Reputacional)",O149)</f>
        <v xml:space="preserve">     El riesgo afecta la imagen de la entidad con algunos usuarios de relevancia frente al logro de los objetivos</v>
      </c>
      <c r="Q149" s="453" t="str">
        <f>IF(OR(P149='[1]Tabla Impacto'!$C$12,P149='[1]Tabla Impacto'!$D$12),"Leve",IF(OR(P149='[1]Tabla Impacto'!$C$13,P149='[1]Tabla Impacto'!$D$13),"Menor",IF(OR(P149='[1]Tabla Impacto'!$C$14,P149='[1]Tabla Impacto'!$D$14),"Moderado",IF(OR(P149='[1]Tabla Impacto'!$C$15,P149='[1]Tabla Impacto'!$D$15),"Mayor",IF(OR(P149='[1]Tabla Impacto'!$C$16,P149='[1]Tabla Impacto'!$D$16),"Catastrófico","")))))</f>
        <v>Moderado</v>
      </c>
      <c r="R149" s="452">
        <f t="shared" si="57"/>
        <v>0.6</v>
      </c>
      <c r="S149" s="454" t="str">
        <f t="shared" si="58"/>
        <v>Moderado</v>
      </c>
      <c r="T149" s="457">
        <v>2</v>
      </c>
      <c r="U149" s="477" t="s">
        <v>671</v>
      </c>
      <c r="V149" s="457" t="str">
        <f t="shared" si="64"/>
        <v>Probabilidad</v>
      </c>
      <c r="W149" s="458" t="s">
        <v>187</v>
      </c>
      <c r="X149" s="458" t="s">
        <v>188</v>
      </c>
      <c r="Y149" s="459" t="str">
        <f t="shared" si="59"/>
        <v>40%</v>
      </c>
      <c r="Z149" s="458" t="s">
        <v>222</v>
      </c>
      <c r="AA149" s="458" t="s">
        <v>190</v>
      </c>
      <c r="AB149" s="458" t="s">
        <v>191</v>
      </c>
      <c r="AC149" s="460">
        <f>IFERROR(IF(AND(V148="Probabilidad",V149="Probabilidad"),(AE148-(+AE148*Y149)),IF(AND(V148="Impacto",V149="Probabilidad"),(AE147-(+AE147*Y149)),IF(V149="Impacto",AE148,""))),"")</f>
        <v>5.183999999999999E-2</v>
      </c>
      <c r="AD149" s="461" t="str">
        <f t="shared" si="60"/>
        <v>Muy Baja</v>
      </c>
      <c r="AE149" s="462">
        <f t="shared" si="61"/>
        <v>5.183999999999999E-2</v>
      </c>
      <c r="AF149" s="461" t="str">
        <f t="shared" si="62"/>
        <v>Moderado</v>
      </c>
      <c r="AG149" s="462">
        <f>IFERROR(IF(AND(V148="Impacto",V149="Impacto"),(AG148-(+AG148*Y149)),IF(AND(V148="Probabilidad",V149="Impacto"),(AG147-(+AG147*Y149)),IF(V149="Probabilidad",AG148,""))),"")</f>
        <v>0.6</v>
      </c>
      <c r="AH149" s="463" t="str">
        <f t="shared" si="63"/>
        <v>Moderado</v>
      </c>
      <c r="AI149" s="464" t="s">
        <v>192</v>
      </c>
      <c r="AJ149" s="596"/>
      <c r="AK149" s="209"/>
      <c r="AL149" s="465"/>
      <c r="AM149" s="466"/>
      <c r="AN149" s="468"/>
    </row>
    <row r="150" spans="1:40" ht="409.5" x14ac:dyDescent="0.2">
      <c r="A150" s="469">
        <v>64</v>
      </c>
      <c r="B150" s="469" t="s">
        <v>665</v>
      </c>
      <c r="C150" s="470" t="s">
        <v>631</v>
      </c>
      <c r="D150" s="447" t="str">
        <f>IFERROR(INDEX('Base de datos gestión'!$D$28:$D$50,MATCH(C150,'Base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50" s="447" t="str">
        <f>IFERROR(INDEX('Base de datos gestión'!$E$28:$E$50,MATCH(C150,'Base de datos gestión'!$C$28:$C$50,0)), 0)</f>
        <v>El proceso inicia con la planificación de los servicios de ensayos de aptitud y estudios colaborativos (comparaciones interlaboratorios) y finaliza con la aplicación de la evaluación de la satisfacción del servicio.</v>
      </c>
      <c r="F150" s="474" t="s">
        <v>178</v>
      </c>
      <c r="G150" s="475" t="s">
        <v>666</v>
      </c>
      <c r="H150" s="495" t="s">
        <v>670</v>
      </c>
      <c r="I150" s="476" t="s">
        <v>668</v>
      </c>
      <c r="J150" s="476" t="s">
        <v>182</v>
      </c>
      <c r="K150" s="476" t="s">
        <v>258</v>
      </c>
      <c r="L150" s="476">
        <v>6</v>
      </c>
      <c r="M150" s="450" t="str">
        <f t="shared" si="56"/>
        <v>Baja</v>
      </c>
      <c r="N150" s="451">
        <f t="shared" si="65"/>
        <v>0.4</v>
      </c>
      <c r="O150" s="452" t="s">
        <v>214</v>
      </c>
      <c r="P150" s="451" t="str">
        <f>IF(NOT(ISERROR(MATCH(O150,'Tabla Impacto'!$B$222:$B$224,0))),'Tabla Impacto'!$F$224&amp;"Por favor no seleccionar los criterios de impacto(Afectación Económica o presupuestal y Pérdida Reputacional)",O150)</f>
        <v xml:space="preserve">     El riesgo afecta la imagen de la entidad con algunos usuarios de relevancia frente al logro de los objetivos</v>
      </c>
      <c r="Q150" s="453" t="str">
        <f>IF(OR(P150='[1]Tabla Impacto'!$C$12,P150='[1]Tabla Impacto'!$D$12),"Leve",IF(OR(P150='[1]Tabla Impacto'!$C$13,P150='[1]Tabla Impacto'!$D$13),"Menor",IF(OR(P150='[1]Tabla Impacto'!$C$14,P150='[1]Tabla Impacto'!$D$14),"Moderado",IF(OR(P150='[1]Tabla Impacto'!$C$15,P150='[1]Tabla Impacto'!$D$15),"Mayor",IF(OR(P150='[1]Tabla Impacto'!$C$16,P150='[1]Tabla Impacto'!$D$16),"Catastrófico","")))))</f>
        <v>Moderado</v>
      </c>
      <c r="R150" s="452">
        <f t="shared" si="57"/>
        <v>0.6</v>
      </c>
      <c r="S150" s="454" t="str">
        <f t="shared" si="58"/>
        <v>Moderado</v>
      </c>
      <c r="T150" s="457">
        <v>3</v>
      </c>
      <c r="U150" s="477" t="s">
        <v>672</v>
      </c>
      <c r="V150" s="457" t="str">
        <f>IF(OR(W150="Preventivo",W150="Detectivo"),"Probabilidad",IF(W150="Correctivo","Impacto",""))</f>
        <v>Impacto</v>
      </c>
      <c r="W150" s="458" t="s">
        <v>209</v>
      </c>
      <c r="X150" s="458" t="s">
        <v>188</v>
      </c>
      <c r="Y150" s="459" t="str">
        <f t="shared" si="59"/>
        <v>25%</v>
      </c>
      <c r="Z150" s="458" t="s">
        <v>222</v>
      </c>
      <c r="AA150" s="458" t="s">
        <v>190</v>
      </c>
      <c r="AB150" s="458" t="s">
        <v>191</v>
      </c>
      <c r="AC150" s="460">
        <f>IFERROR(IF(AND(V149="Probabilidad",V150="Probabilidad"),(AE149-(+AE149*Y150)),IF(AND(V149="Impacto",V150="Probabilidad"),(AE148-(+AE148*Y150)),IF(V150="Impacto",AE149,""))),"")</f>
        <v>5.183999999999999E-2</v>
      </c>
      <c r="AD150" s="461" t="str">
        <f t="shared" si="60"/>
        <v>Muy Baja</v>
      </c>
      <c r="AE150" s="462">
        <f t="shared" si="61"/>
        <v>5.183999999999999E-2</v>
      </c>
      <c r="AF150" s="461" t="str">
        <f t="shared" si="62"/>
        <v>Moderado</v>
      </c>
      <c r="AG150" s="462">
        <f>IFERROR(IF(AND(V149="Impacto",V150="Impacto"),(AG149-(+AG149*Y150)),IF(AND(V149="Probabilidad",V150="Impacto"),(AG148-(+AG148*Y150)),IF(V150="Probabilidad",AG149,""))),"")</f>
        <v>0.44999999999999996</v>
      </c>
      <c r="AH150" s="463" t="str">
        <f t="shared" si="63"/>
        <v>Moderado</v>
      </c>
      <c r="AI150" s="464" t="s">
        <v>192</v>
      </c>
      <c r="AJ150" s="596"/>
      <c r="AK150" s="209"/>
      <c r="AL150" s="465"/>
      <c r="AM150" s="466"/>
      <c r="AN150" s="468"/>
    </row>
    <row r="151" spans="1:40" ht="409.5" x14ac:dyDescent="0.2">
      <c r="A151" s="478">
        <v>65</v>
      </c>
      <c r="B151" s="478" t="s">
        <v>673</v>
      </c>
      <c r="C151" s="479" t="s">
        <v>631</v>
      </c>
      <c r="D151" s="447" t="str">
        <f>IFERROR(INDEX('Base de datos gestión'!$D$28:$D$50,MATCH(C151,'Base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51" s="447" t="str">
        <f>IFERROR(INDEX('Base de datos gestión'!$E$28:$E$50,MATCH(C151,'Base de datos gestión'!$C$28:$C$50,0)), 0)</f>
        <v>El proceso inicia con la planificación de los servicios de ensayos de aptitud y estudios colaborativos (comparaciones interlaboratorios) y finaliza con la aplicación de la evaluación de la satisfacción del servicio.</v>
      </c>
      <c r="F151" s="476" t="s">
        <v>234</v>
      </c>
      <c r="G151" s="475" t="s">
        <v>674</v>
      </c>
      <c r="H151" s="476" t="s">
        <v>675</v>
      </c>
      <c r="I151" s="476" t="s">
        <v>676</v>
      </c>
      <c r="J151" s="476" t="s">
        <v>182</v>
      </c>
      <c r="K151" s="476" t="s">
        <v>258</v>
      </c>
      <c r="L151" s="476">
        <v>6</v>
      </c>
      <c r="M151" s="450" t="str">
        <f t="shared" si="56"/>
        <v>Baja</v>
      </c>
      <c r="N151" s="451">
        <f t="shared" si="65"/>
        <v>0.4</v>
      </c>
      <c r="O151" s="452" t="s">
        <v>677</v>
      </c>
      <c r="P151" s="451" t="str">
        <f>IF(NOT(ISERROR(MATCH(O151,'Tabla Impacto'!$B$222:$B$224,0))),'Tabla Impacto'!$F$224&amp;"Por favor no seleccionar los criterios de impacto(Afectación Económica o presupuestal y Pérdida Reputacional)",O151)</f>
        <v xml:space="preserve">     Afectación menor a 10 SMLMV .</v>
      </c>
      <c r="Q151" s="453" t="str">
        <f>IF(OR(P151='[1]Tabla Impacto'!$C$12,P151='[1]Tabla Impacto'!$D$12),"Leve",IF(OR(P151='[1]Tabla Impacto'!$C$13,P151='[1]Tabla Impacto'!$D$13),"Menor",IF(OR(P151='[1]Tabla Impacto'!$C$14,P151='[1]Tabla Impacto'!$D$14),"Moderado",IF(OR(P151='[1]Tabla Impacto'!$C$15,P151='[1]Tabla Impacto'!$D$15),"Mayor",IF(OR(P151='[1]Tabla Impacto'!$C$16,P151='[1]Tabla Impacto'!$D$16),"Catastrófico","")))))</f>
        <v>Leve</v>
      </c>
      <c r="R151" s="452">
        <f t="shared" si="57"/>
        <v>0.2</v>
      </c>
      <c r="S151" s="454" t="str">
        <f t="shared" si="58"/>
        <v>Bajo</v>
      </c>
      <c r="T151" s="457">
        <v>1</v>
      </c>
      <c r="U151" s="477" t="s">
        <v>678</v>
      </c>
      <c r="V151" s="457" t="str">
        <f t="shared" si="64"/>
        <v>Probabilidad</v>
      </c>
      <c r="W151" s="458" t="s">
        <v>187</v>
      </c>
      <c r="X151" s="458" t="s">
        <v>188</v>
      </c>
      <c r="Y151" s="459" t="str">
        <f t="shared" si="59"/>
        <v>40%</v>
      </c>
      <c r="Z151" s="458" t="s">
        <v>222</v>
      </c>
      <c r="AA151" s="458" t="s">
        <v>190</v>
      </c>
      <c r="AB151" s="458" t="s">
        <v>191</v>
      </c>
      <c r="AC151" s="460">
        <f>IFERROR(IF(AND(V150="Probabilidad",V151="Probabilidad"),(AE150-(+AE150*Y151)),IF(AND(V150="Impacto",V151="Probabilidad"),(AE149-(+AE149*Y151)),IF(V151="Impacto",AE150,""))),"")</f>
        <v>3.1103999999999993E-2</v>
      </c>
      <c r="AD151" s="461" t="str">
        <f t="shared" si="60"/>
        <v>Muy Baja</v>
      </c>
      <c r="AE151" s="462">
        <f t="shared" si="61"/>
        <v>3.1103999999999993E-2</v>
      </c>
      <c r="AF151" s="461" t="str">
        <f t="shared" si="62"/>
        <v>Moderado</v>
      </c>
      <c r="AG151" s="462">
        <f>IFERROR(IF(AND(V150="Impacto",V151="Impacto"),(AG150-(+AG150*Y151)),IF(AND(V150="Probabilidad",V151="Impacto"),(AG149-(+AG149*Y151)),IF(V151="Probabilidad",AG150,""))),"")</f>
        <v>0.44999999999999996</v>
      </c>
      <c r="AH151" s="463" t="str">
        <f t="shared" si="63"/>
        <v>Moderado</v>
      </c>
      <c r="AI151" s="464" t="s">
        <v>192</v>
      </c>
      <c r="AJ151" s="596"/>
      <c r="AK151" s="209"/>
      <c r="AL151" s="465"/>
      <c r="AM151" s="466"/>
      <c r="AN151" s="468"/>
    </row>
    <row r="152" spans="1:40" ht="409.5" x14ac:dyDescent="0.2">
      <c r="A152" s="446">
        <v>65</v>
      </c>
      <c r="B152" s="446" t="s">
        <v>673</v>
      </c>
      <c r="C152" s="447" t="s">
        <v>631</v>
      </c>
      <c r="D152" s="447" t="str">
        <f>IFERROR(INDEX('Base de datos gestión'!$D$28:$D$50,MATCH(C152,'Base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52" s="447" t="str">
        <f>IFERROR(INDEX('Base de datos gestión'!$E$28:$E$50,MATCH(C152,'Base de datos gestión'!$C$28:$C$50,0)), 0)</f>
        <v>El proceso inicia con la planificación de los servicios de ensayos de aptitud y estudios colaborativos (comparaciones interlaboratorios) y finaliza con la aplicación de la evaluación de la satisfacción del servicio.</v>
      </c>
      <c r="F152" s="476" t="s">
        <v>234</v>
      </c>
      <c r="G152" s="475" t="s">
        <v>674</v>
      </c>
      <c r="H152" s="476" t="s">
        <v>679</v>
      </c>
      <c r="I152" s="476" t="s">
        <v>676</v>
      </c>
      <c r="J152" s="476" t="s">
        <v>182</v>
      </c>
      <c r="K152" s="476" t="s">
        <v>258</v>
      </c>
      <c r="L152" s="476">
        <v>6</v>
      </c>
      <c r="M152" s="450" t="str">
        <f t="shared" si="56"/>
        <v>Baja</v>
      </c>
      <c r="N152" s="451">
        <f t="shared" si="65"/>
        <v>0.4</v>
      </c>
      <c r="O152" s="452" t="s">
        <v>677</v>
      </c>
      <c r="P152" s="451" t="str">
        <f>IF(NOT(ISERROR(MATCH(O152,'Tabla Impacto'!$B$222:$B$224,0))),'Tabla Impacto'!$F$224&amp;"Por favor no seleccionar los criterios de impacto(Afectación Económica o presupuestal y Pérdida Reputacional)",O152)</f>
        <v xml:space="preserve">     Afectación menor a 10 SMLMV .</v>
      </c>
      <c r="Q152" s="453" t="str">
        <f>IF(OR(P152='[1]Tabla Impacto'!$C$12,P152='[1]Tabla Impacto'!$D$12),"Leve",IF(OR(P152='[1]Tabla Impacto'!$C$13,P152='[1]Tabla Impacto'!$D$13),"Menor",IF(OR(P152='[1]Tabla Impacto'!$C$14,P152='[1]Tabla Impacto'!$D$14),"Moderado",IF(OR(P152='[1]Tabla Impacto'!$C$15,P152='[1]Tabla Impacto'!$D$15),"Mayor",IF(OR(P152='[1]Tabla Impacto'!$C$16,P152='[1]Tabla Impacto'!$D$16),"Catastrófico","")))))</f>
        <v>Leve</v>
      </c>
      <c r="R152" s="452">
        <f t="shared" si="57"/>
        <v>0.2</v>
      </c>
      <c r="S152" s="454" t="str">
        <f t="shared" si="58"/>
        <v>Bajo</v>
      </c>
      <c r="T152" s="457">
        <v>2</v>
      </c>
      <c r="U152" s="477" t="s">
        <v>680</v>
      </c>
      <c r="V152" s="457" t="str">
        <f>IF(OR(W152="Preventivo",W152="Detectivo"),"Probabilidad",IF(W152="Correctivo","Impacto",""))</f>
        <v>Probabilidad</v>
      </c>
      <c r="W152" s="458" t="s">
        <v>187</v>
      </c>
      <c r="X152" s="458" t="s">
        <v>188</v>
      </c>
      <c r="Y152" s="459" t="str">
        <f t="shared" si="59"/>
        <v>40%</v>
      </c>
      <c r="Z152" s="458" t="s">
        <v>222</v>
      </c>
      <c r="AA152" s="458" t="s">
        <v>190</v>
      </c>
      <c r="AB152" s="458" t="s">
        <v>191</v>
      </c>
      <c r="AC152" s="460">
        <f>IFERROR(IF(V152="Probabilidad",(N152-(+N152*Y152)),IF(V152="Impacto",N152,"")),"")</f>
        <v>0.24</v>
      </c>
      <c r="AD152" s="461" t="str">
        <f t="shared" si="60"/>
        <v>Baja</v>
      </c>
      <c r="AE152" s="462">
        <f t="shared" si="61"/>
        <v>0.24</v>
      </c>
      <c r="AF152" s="461" t="str">
        <f t="shared" si="62"/>
        <v>Leve</v>
      </c>
      <c r="AG152" s="462">
        <f>IFERROR(IF(V152="Impacto",(R152-(+R152*Y152)),IF(V152="Probabilidad",R152,"")),"")</f>
        <v>0.2</v>
      </c>
      <c r="AH152" s="463" t="str">
        <f t="shared" si="63"/>
        <v>Bajo</v>
      </c>
      <c r="AI152" s="464" t="s">
        <v>192</v>
      </c>
      <c r="AJ152" s="596"/>
      <c r="AK152" s="209"/>
      <c r="AL152" s="465"/>
      <c r="AM152" s="466"/>
      <c r="AN152" s="468"/>
    </row>
    <row r="153" spans="1:40" ht="409.5" x14ac:dyDescent="0.2">
      <c r="A153" s="469">
        <v>65</v>
      </c>
      <c r="B153" s="469" t="s">
        <v>673</v>
      </c>
      <c r="C153" s="470" t="s">
        <v>631</v>
      </c>
      <c r="D153" s="447" t="str">
        <f>IFERROR(INDEX('Base de datos gestión'!$D$28:$D$50,MATCH(C153,'Base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53" s="447" t="str">
        <f>IFERROR(INDEX('Base de datos gestión'!$E$28:$E$50,MATCH(C153,'Base de datos gestión'!$C$28:$C$50,0)), 0)</f>
        <v>El proceso inicia con la planificación de los servicios de ensayos de aptitud y estudios colaborativos (comparaciones interlaboratorios) y finaliza con la aplicación de la evaluación de la satisfacción del servicio.</v>
      </c>
      <c r="F153" s="476" t="s">
        <v>234</v>
      </c>
      <c r="G153" s="475" t="s">
        <v>674</v>
      </c>
      <c r="H153" s="476" t="s">
        <v>681</v>
      </c>
      <c r="I153" s="476" t="s">
        <v>676</v>
      </c>
      <c r="J153" s="476" t="s">
        <v>182</v>
      </c>
      <c r="K153" s="476" t="s">
        <v>258</v>
      </c>
      <c r="L153" s="476">
        <v>6</v>
      </c>
      <c r="M153" s="450" t="str">
        <f t="shared" si="56"/>
        <v>Baja</v>
      </c>
      <c r="N153" s="451">
        <f t="shared" si="65"/>
        <v>0.4</v>
      </c>
      <c r="O153" s="452" t="s">
        <v>677</v>
      </c>
      <c r="P153" s="451" t="str">
        <f>IF(NOT(ISERROR(MATCH(O153,'Tabla Impacto'!$B$222:$B$224,0))),'Tabla Impacto'!$F$224&amp;"Por favor no seleccionar los criterios de impacto(Afectación Económica o presupuestal y Pérdida Reputacional)",O153)</f>
        <v xml:space="preserve">     Afectación menor a 10 SMLMV .</v>
      </c>
      <c r="Q153" s="453" t="str">
        <f>IF(OR(P153='[1]Tabla Impacto'!$C$12,P153='[1]Tabla Impacto'!$D$12),"Leve",IF(OR(P153='[1]Tabla Impacto'!$C$13,P153='[1]Tabla Impacto'!$D$13),"Menor",IF(OR(P153='[1]Tabla Impacto'!$C$14,P153='[1]Tabla Impacto'!$D$14),"Moderado",IF(OR(P153='[1]Tabla Impacto'!$C$15,P153='[1]Tabla Impacto'!$D$15),"Mayor",IF(OR(P153='[1]Tabla Impacto'!$C$16,P153='[1]Tabla Impacto'!$D$16),"Catastrófico","")))))</f>
        <v>Leve</v>
      </c>
      <c r="R153" s="452">
        <f t="shared" si="57"/>
        <v>0.2</v>
      </c>
      <c r="S153" s="454" t="str">
        <f t="shared" si="58"/>
        <v>Bajo</v>
      </c>
      <c r="T153" s="457">
        <v>3</v>
      </c>
      <c r="U153" s="477" t="s">
        <v>682</v>
      </c>
      <c r="V153" s="457" t="str">
        <f>IF(OR(W153="Preventivo",W153="Detectivo"),"Probabilidad",IF(W153="Correctivo","Impacto",""))</f>
        <v>Probabilidad</v>
      </c>
      <c r="W153" s="458" t="s">
        <v>187</v>
      </c>
      <c r="X153" s="458" t="s">
        <v>188</v>
      </c>
      <c r="Y153" s="459" t="str">
        <f t="shared" si="59"/>
        <v>40%</v>
      </c>
      <c r="Z153" s="458" t="s">
        <v>222</v>
      </c>
      <c r="AA153" s="458" t="s">
        <v>190</v>
      </c>
      <c r="AB153" s="458" t="s">
        <v>191</v>
      </c>
      <c r="AC153" s="460">
        <f>IFERROR(IF(AND(V152="Probabilidad",V153="Probabilidad"),(AE152-(+AE152*Y153)),IF(V153="Probabilidad",(N152-(+N152*Y153)),IF(V153="Impacto",AE152,""))),"")</f>
        <v>0.14399999999999999</v>
      </c>
      <c r="AD153" s="461" t="str">
        <f t="shared" si="60"/>
        <v>Muy Baja</v>
      </c>
      <c r="AE153" s="462">
        <f t="shared" si="61"/>
        <v>0.14399999999999999</v>
      </c>
      <c r="AF153" s="461" t="str">
        <f t="shared" si="62"/>
        <v>Moderado</v>
      </c>
      <c r="AG153" s="462">
        <f>IFERROR(IF(AND(V152="Impacto",V153="Impacto"),(AG146-(+AG146*Y153)),IF(V153="Impacto",($R$56-(+$R$56*Y153)),IF(V153="Probabilidad",AG146,""))),"")</f>
        <v>0.6</v>
      </c>
      <c r="AH153" s="463" t="str">
        <f t="shared" si="63"/>
        <v>Moderado</v>
      </c>
      <c r="AI153" s="464" t="s">
        <v>192</v>
      </c>
      <c r="AJ153" s="596"/>
      <c r="AK153" s="209"/>
      <c r="AL153" s="465"/>
      <c r="AM153" s="466"/>
      <c r="AN153" s="468"/>
    </row>
    <row r="154" spans="1:40" ht="409.5" x14ac:dyDescent="0.2">
      <c r="A154" s="469">
        <v>66</v>
      </c>
      <c r="B154" s="469" t="s">
        <v>683</v>
      </c>
      <c r="C154" s="470" t="s">
        <v>631</v>
      </c>
      <c r="D154" s="447" t="str">
        <f>IFERROR(INDEX('Base de datos gestión'!$D$28:$D$50,MATCH(C154,'Base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54" s="447" t="str">
        <f>IFERROR(INDEX('Base de datos gestión'!$E$28:$E$50,MATCH(C154,'Base de datos gestión'!$C$28:$C$50,0)), 0)</f>
        <v>El proceso inicia con la planificación de los servicios de ensayos de aptitud y estudios colaborativos (comparaciones interlaboratorios) y finaliza con la aplicación de la evaluación de la satisfacción del servicio.</v>
      </c>
      <c r="F154" s="476" t="s">
        <v>178</v>
      </c>
      <c r="G154" s="475" t="s">
        <v>684</v>
      </c>
      <c r="H154" s="476" t="s">
        <v>685</v>
      </c>
      <c r="I154" s="476" t="s">
        <v>686</v>
      </c>
      <c r="J154" s="476" t="s">
        <v>687</v>
      </c>
      <c r="K154" s="476" t="s">
        <v>688</v>
      </c>
      <c r="L154" s="476">
        <v>6</v>
      </c>
      <c r="M154" s="450" t="str">
        <f t="shared" si="56"/>
        <v>Baja</v>
      </c>
      <c r="N154" s="451">
        <f t="shared" si="65"/>
        <v>0.4</v>
      </c>
      <c r="O154" s="452" t="s">
        <v>214</v>
      </c>
      <c r="P154" s="451" t="str">
        <f>IF(NOT(ISERROR(MATCH(O154,'Tabla Impacto'!$B$222:$B$224,0))),'Tabla Impacto'!$F$224&amp;"Por favor no seleccionar los criterios de impacto(Afectación Económica o presupuestal y Pérdida Reputacional)",O154)</f>
        <v xml:space="preserve">     El riesgo afecta la imagen de la entidad con algunos usuarios de relevancia frente al logro de los objetivos</v>
      </c>
      <c r="Q154" s="453" t="str">
        <f>IF(OR(P154='[1]Tabla Impacto'!$C$12,P154='[1]Tabla Impacto'!$D$12),"Leve",IF(OR(P154='[1]Tabla Impacto'!$C$13,P154='[1]Tabla Impacto'!$D$13),"Menor",IF(OR(P154='[1]Tabla Impacto'!$C$14,P154='[1]Tabla Impacto'!$D$14),"Moderado",IF(OR(P154='[1]Tabla Impacto'!$C$15,P154='[1]Tabla Impacto'!$D$15),"Mayor",IF(OR(P154='[1]Tabla Impacto'!$C$16,P154='[1]Tabla Impacto'!$D$16),"Catastrófico","")))))</f>
        <v>Moderado</v>
      </c>
      <c r="R154" s="452">
        <f t="shared" si="57"/>
        <v>0.6</v>
      </c>
      <c r="S154" s="454" t="str">
        <f t="shared" si="58"/>
        <v>Moderado</v>
      </c>
      <c r="T154" s="457">
        <v>1</v>
      </c>
      <c r="U154" s="477" t="s">
        <v>689</v>
      </c>
      <c r="V154" s="457" t="str">
        <f t="shared" si="64"/>
        <v>Probabilidad</v>
      </c>
      <c r="W154" s="458" t="s">
        <v>187</v>
      </c>
      <c r="X154" s="458" t="s">
        <v>188</v>
      </c>
      <c r="Y154" s="459" t="str">
        <f t="shared" si="59"/>
        <v>40%</v>
      </c>
      <c r="Z154" s="458" t="s">
        <v>222</v>
      </c>
      <c r="AA154" s="458" t="s">
        <v>190</v>
      </c>
      <c r="AB154" s="458" t="s">
        <v>191</v>
      </c>
      <c r="AC154" s="460">
        <f>IFERROR(IF(AND(V153="Probabilidad",V154="Probabilidad"),(AE153-(+AE153*Y154)),IF(AND(V153="Impacto",V154="Probabilidad"),(AE152-(+AE152*Y154)),IF(V154="Impacto",AE153,""))),"")</f>
        <v>8.6399999999999991E-2</v>
      </c>
      <c r="AD154" s="461" t="str">
        <f t="shared" si="60"/>
        <v>Muy Baja</v>
      </c>
      <c r="AE154" s="462">
        <f t="shared" si="61"/>
        <v>8.6399999999999991E-2</v>
      </c>
      <c r="AF154" s="461" t="str">
        <f t="shared" si="62"/>
        <v>Moderado</v>
      </c>
      <c r="AG154" s="462">
        <f>IFERROR(IF(AND(V153="Impacto",V154="Impacto"),(AG153-(+AG153*Y154)),IF(AND(V153="Probabilidad",V154="Impacto"),(AG152-(+AG152*Y154)),IF(V154="Probabilidad",AG153,""))),"")</f>
        <v>0.6</v>
      </c>
      <c r="AH154" s="463" t="str">
        <f t="shared" si="63"/>
        <v>Moderado</v>
      </c>
      <c r="AI154" s="464" t="s">
        <v>192</v>
      </c>
      <c r="AJ154" s="596"/>
      <c r="AK154" s="209"/>
      <c r="AL154" s="465"/>
      <c r="AM154" s="466"/>
      <c r="AN154" s="468"/>
    </row>
    <row r="155" spans="1:40" ht="409.5" x14ac:dyDescent="0.2">
      <c r="A155" s="469">
        <v>66</v>
      </c>
      <c r="B155" s="469" t="s">
        <v>683</v>
      </c>
      <c r="C155" s="470" t="s">
        <v>631</v>
      </c>
      <c r="D155" s="447" t="str">
        <f>IFERROR(INDEX('Base de datos gestión'!$D$28:$D$50,MATCH(C155,'Base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55" s="447" t="str">
        <f>IFERROR(INDEX('Base de datos gestión'!$E$28:$E$50,MATCH(C155,'Base de datos gestión'!$C$28:$C$50,0)), 0)</f>
        <v>El proceso inicia con la planificación de los servicios de ensayos de aptitud y estudios colaborativos (comparaciones interlaboratorios) y finaliza con la aplicación de la evaluación de la satisfacción del servicio.</v>
      </c>
      <c r="F155" s="476" t="s">
        <v>178</v>
      </c>
      <c r="G155" s="475" t="s">
        <v>684</v>
      </c>
      <c r="H155" s="476" t="s">
        <v>690</v>
      </c>
      <c r="I155" s="476" t="s">
        <v>686</v>
      </c>
      <c r="J155" s="476" t="s">
        <v>687</v>
      </c>
      <c r="K155" s="476" t="s">
        <v>688</v>
      </c>
      <c r="L155" s="476">
        <v>6</v>
      </c>
      <c r="M155" s="450" t="str">
        <f t="shared" si="56"/>
        <v>Baja</v>
      </c>
      <c r="N155" s="451">
        <f t="shared" si="65"/>
        <v>0.4</v>
      </c>
      <c r="O155" s="452" t="s">
        <v>214</v>
      </c>
      <c r="P155" s="451" t="str">
        <f>IF(NOT(ISERROR(MATCH(O155,'Tabla Impacto'!$B$222:$B$224,0))),'Tabla Impacto'!$F$224&amp;"Por favor no seleccionar los criterios de impacto(Afectación Económica o presupuestal y Pérdida Reputacional)",O155)</f>
        <v xml:space="preserve">     El riesgo afecta la imagen de la entidad con algunos usuarios de relevancia frente al logro de los objetivos</v>
      </c>
      <c r="Q155" s="453" t="str">
        <f>IF(OR(P155='[1]Tabla Impacto'!$C$12,P155='[1]Tabla Impacto'!$D$12),"Leve",IF(OR(P155='[1]Tabla Impacto'!$C$13,P155='[1]Tabla Impacto'!$D$13),"Menor",IF(OR(P155='[1]Tabla Impacto'!$C$14,P155='[1]Tabla Impacto'!$D$14),"Moderado",IF(OR(P155='[1]Tabla Impacto'!$C$15,P155='[1]Tabla Impacto'!$D$15),"Mayor",IF(OR(P155='[1]Tabla Impacto'!$C$16,P155='[1]Tabla Impacto'!$D$16),"Catastrófico","")))))</f>
        <v>Moderado</v>
      </c>
      <c r="R155" s="452">
        <f t="shared" si="57"/>
        <v>0.6</v>
      </c>
      <c r="S155" s="454" t="str">
        <f t="shared" si="58"/>
        <v>Moderado</v>
      </c>
      <c r="T155" s="457">
        <v>2</v>
      </c>
      <c r="U155" s="477" t="s">
        <v>691</v>
      </c>
      <c r="V155" s="457" t="str">
        <f>IF(OR(W155="Preventivo",W155="Detectivo"),"Probabilidad",IF(W155="Correctivo","Impacto",""))</f>
        <v>Probabilidad</v>
      </c>
      <c r="W155" s="458" t="s">
        <v>228</v>
      </c>
      <c r="X155" s="458" t="s">
        <v>188</v>
      </c>
      <c r="Y155" s="459" t="str">
        <f t="shared" si="59"/>
        <v>30%</v>
      </c>
      <c r="Z155" s="458" t="s">
        <v>222</v>
      </c>
      <c r="AA155" s="458" t="s">
        <v>190</v>
      </c>
      <c r="AB155" s="458" t="s">
        <v>191</v>
      </c>
      <c r="AC155" s="460">
        <f>IFERROR(IF(AND(V154="Probabilidad",V155="Probabilidad"),(AE154-(+AE154*Y155)),IF(AND(V154="Impacto",V155="Probabilidad"),(AE153-(+AE153*Y155)),IF(V155="Impacto",AE154,""))),"")</f>
        <v>6.0479999999999992E-2</v>
      </c>
      <c r="AD155" s="461" t="str">
        <f t="shared" si="60"/>
        <v>Muy Baja</v>
      </c>
      <c r="AE155" s="462">
        <f t="shared" si="61"/>
        <v>6.0479999999999992E-2</v>
      </c>
      <c r="AF155" s="461" t="str">
        <f t="shared" si="62"/>
        <v>Moderado</v>
      </c>
      <c r="AG155" s="462">
        <f>IFERROR(IF(AND(V154="Impacto",V155="Impacto"),(AG154-(+AG154*Y155)),IF(AND(V154="Probabilidad",V155="Impacto"),(AG153-(+AG153*Y155)),IF(V155="Probabilidad",AG154,""))),"")</f>
        <v>0.6</v>
      </c>
      <c r="AH155" s="463" t="str">
        <f t="shared" si="63"/>
        <v>Moderado</v>
      </c>
      <c r="AI155" s="464" t="s">
        <v>192</v>
      </c>
      <c r="AJ155" s="596"/>
      <c r="AK155" s="209"/>
      <c r="AL155" s="465"/>
      <c r="AM155" s="466"/>
      <c r="AN155" s="468"/>
    </row>
    <row r="156" spans="1:40" ht="409.5" x14ac:dyDescent="0.2">
      <c r="A156" s="469">
        <v>66</v>
      </c>
      <c r="B156" s="469" t="s">
        <v>683</v>
      </c>
      <c r="C156" s="470" t="s">
        <v>631</v>
      </c>
      <c r="D156" s="447" t="str">
        <f>IFERROR(INDEX('Base de datos gestión'!$D$28:$D$50,MATCH(C156,'Base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56" s="447" t="str">
        <f>IFERROR(INDEX('Base de datos gestión'!$E$28:$E$50,MATCH(C156,'Base de datos gestión'!$C$28:$C$50,0)), 0)</f>
        <v>El proceso inicia con la planificación de los servicios de ensayos de aptitud y estudios colaborativos (comparaciones interlaboratorios) y finaliza con la aplicación de la evaluación de la satisfacción del servicio.</v>
      </c>
      <c r="F156" s="476" t="s">
        <v>178</v>
      </c>
      <c r="G156" s="475" t="s">
        <v>684</v>
      </c>
      <c r="H156" s="476" t="s">
        <v>690</v>
      </c>
      <c r="I156" s="476" t="s">
        <v>686</v>
      </c>
      <c r="J156" s="476" t="s">
        <v>687</v>
      </c>
      <c r="K156" s="476" t="s">
        <v>688</v>
      </c>
      <c r="L156" s="476">
        <v>6</v>
      </c>
      <c r="M156" s="450" t="str">
        <f t="shared" si="56"/>
        <v>Baja</v>
      </c>
      <c r="N156" s="451">
        <f t="shared" si="65"/>
        <v>0.4</v>
      </c>
      <c r="O156" s="452" t="s">
        <v>214</v>
      </c>
      <c r="P156" s="451" t="str">
        <f>IF(NOT(ISERROR(MATCH(O156,'Tabla Impacto'!$B$222:$B$224,0))),'Tabla Impacto'!$F$224&amp;"Por favor no seleccionar los criterios de impacto(Afectación Económica o presupuestal y Pérdida Reputacional)",O156)</f>
        <v xml:space="preserve">     El riesgo afecta la imagen de la entidad con algunos usuarios de relevancia frente al logro de los objetivos</v>
      </c>
      <c r="Q156" s="453" t="str">
        <f>IF(OR(P156='[1]Tabla Impacto'!$C$12,P156='[1]Tabla Impacto'!$D$12),"Leve",IF(OR(P156='[1]Tabla Impacto'!$C$13,P156='[1]Tabla Impacto'!$D$13),"Menor",IF(OR(P156='[1]Tabla Impacto'!$C$14,P156='[1]Tabla Impacto'!$D$14),"Moderado",IF(OR(P156='[1]Tabla Impacto'!$C$15,P156='[1]Tabla Impacto'!$D$15),"Mayor",IF(OR(P156='[1]Tabla Impacto'!$C$16,P156='[1]Tabla Impacto'!$D$16),"Catastrófico","")))))</f>
        <v>Moderado</v>
      </c>
      <c r="R156" s="452">
        <f t="shared" si="57"/>
        <v>0.6</v>
      </c>
      <c r="S156" s="454" t="str">
        <f t="shared" si="58"/>
        <v>Moderado</v>
      </c>
      <c r="T156" s="457">
        <v>3</v>
      </c>
      <c r="U156" s="477" t="s">
        <v>692</v>
      </c>
      <c r="V156" s="457" t="str">
        <f>IF(OR(W156="Preventivo",W156="Detectivo"),"Probabilidad",IF(W156="Correctivo","Impacto",""))</f>
        <v>Probabilidad</v>
      </c>
      <c r="W156" s="458" t="s">
        <v>187</v>
      </c>
      <c r="X156" s="458" t="s">
        <v>188</v>
      </c>
      <c r="Y156" s="459" t="str">
        <f t="shared" si="59"/>
        <v>40%</v>
      </c>
      <c r="Z156" s="458" t="s">
        <v>222</v>
      </c>
      <c r="AA156" s="458" t="s">
        <v>190</v>
      </c>
      <c r="AB156" s="458" t="s">
        <v>191</v>
      </c>
      <c r="AC156" s="460">
        <f>IFERROR(IF(AND(V155="Probabilidad",V156="Probabilidad"),(AE155-(+AE155*Y156)),IF(AND(V155="Impacto",V156="Probabilidad"),(AE154-(+AE154*Y156)),IF(V156="Impacto",AE155,""))),"")</f>
        <v>3.6287999999999994E-2</v>
      </c>
      <c r="AD156" s="461" t="str">
        <f t="shared" si="60"/>
        <v>Muy Baja</v>
      </c>
      <c r="AE156" s="462">
        <f t="shared" si="61"/>
        <v>3.6287999999999994E-2</v>
      </c>
      <c r="AF156" s="461" t="str">
        <f t="shared" si="62"/>
        <v>Moderado</v>
      </c>
      <c r="AG156" s="462">
        <f>IFERROR(IF(AND(V155="Impacto",V156="Impacto"),(AG155-(+AG155*Y156)),IF(AND(V155="Probabilidad",V156="Impacto"),(AG154-(+AG154*Y156)),IF(V156="Probabilidad",AG155,""))),"")</f>
        <v>0.6</v>
      </c>
      <c r="AH156" s="463" t="str">
        <f t="shared" si="63"/>
        <v>Moderado</v>
      </c>
      <c r="AI156" s="464" t="s">
        <v>192</v>
      </c>
      <c r="AJ156" s="596"/>
      <c r="AK156" s="209"/>
      <c r="AL156" s="465"/>
      <c r="AM156" s="466"/>
      <c r="AN156" s="468"/>
    </row>
    <row r="157" spans="1:40" ht="409.5" x14ac:dyDescent="0.2">
      <c r="A157" s="478">
        <v>67</v>
      </c>
      <c r="B157" s="478" t="s">
        <v>693</v>
      </c>
      <c r="C157" s="479" t="s">
        <v>631</v>
      </c>
      <c r="D157" s="447" t="str">
        <f>IFERROR(INDEX('Base de datos gestión'!$D$28:$D$50,MATCH(C157,'Base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57" s="447" t="str">
        <f>IFERROR(INDEX('Base de datos gestión'!$E$28:$E$50,MATCH(C157,'Base de datos gestión'!$C$28:$C$50,0)), 0)</f>
        <v>El proceso inicia con la planificación de los servicios de ensayos de aptitud y estudios colaborativos (comparaciones interlaboratorios) y finaliza con la aplicación de la evaluación de la satisfacción del servicio.</v>
      </c>
      <c r="F157" s="476" t="s">
        <v>178</v>
      </c>
      <c r="G157" s="475" t="s">
        <v>694</v>
      </c>
      <c r="H157" s="476" t="s">
        <v>695</v>
      </c>
      <c r="I157" s="476" t="s">
        <v>696</v>
      </c>
      <c r="J157" s="476" t="s">
        <v>182</v>
      </c>
      <c r="K157" s="476" t="s">
        <v>258</v>
      </c>
      <c r="L157" s="476">
        <v>6</v>
      </c>
      <c r="M157" s="450" t="str">
        <f t="shared" si="56"/>
        <v>Baja</v>
      </c>
      <c r="N157" s="451">
        <f t="shared" si="65"/>
        <v>0.4</v>
      </c>
      <c r="O157" s="452" t="s">
        <v>214</v>
      </c>
      <c r="P157" s="451" t="str">
        <f>IF(NOT(ISERROR(MATCH(O157,'Tabla Impacto'!$B$222:$B$224,0))),'Tabla Impacto'!$F$224&amp;"Por favor no seleccionar los criterios de impacto(Afectación Económica o presupuestal y Pérdida Reputacional)",O157)</f>
        <v xml:space="preserve">     El riesgo afecta la imagen de la entidad con algunos usuarios de relevancia frente al logro de los objetivos</v>
      </c>
      <c r="Q157" s="453" t="str">
        <f>IF(OR(P157='[1]Tabla Impacto'!$C$12,P157='[1]Tabla Impacto'!$D$12),"Leve",IF(OR(P157='[1]Tabla Impacto'!$C$13,P157='[1]Tabla Impacto'!$D$13),"Menor",IF(OR(P157='[1]Tabla Impacto'!$C$14,P157='[1]Tabla Impacto'!$D$14),"Moderado",IF(OR(P157='[1]Tabla Impacto'!$C$15,P157='[1]Tabla Impacto'!$D$15),"Mayor",IF(OR(P157='[1]Tabla Impacto'!$C$16,P157='[1]Tabla Impacto'!$D$16),"Catastrófico","")))))</f>
        <v>Moderado</v>
      </c>
      <c r="R157" s="452">
        <f t="shared" si="57"/>
        <v>0.6</v>
      </c>
      <c r="S157" s="454" t="str">
        <f t="shared" si="58"/>
        <v>Moderado</v>
      </c>
      <c r="T157" s="457">
        <v>1</v>
      </c>
      <c r="U157" s="477" t="s">
        <v>697</v>
      </c>
      <c r="V157" s="457" t="str">
        <f t="shared" si="64"/>
        <v>Probabilidad</v>
      </c>
      <c r="W157" s="458" t="s">
        <v>187</v>
      </c>
      <c r="X157" s="458" t="s">
        <v>188</v>
      </c>
      <c r="Y157" s="459" t="str">
        <f t="shared" si="59"/>
        <v>40%</v>
      </c>
      <c r="Z157" s="458" t="s">
        <v>222</v>
      </c>
      <c r="AA157" s="458" t="s">
        <v>190</v>
      </c>
      <c r="AB157" s="458" t="s">
        <v>191</v>
      </c>
      <c r="AC157" s="460">
        <f>IFERROR(IF(AND(V156="Probabilidad",V157="Probabilidad"),(AE156-(+AE156*Y157)),IF(AND(V156="Impacto",V157="Probabilidad"),(AE155-(+AE155*Y157)),IF(V157="Impacto",AE156,""))),"")</f>
        <v>2.1772799999999995E-2</v>
      </c>
      <c r="AD157" s="461" t="str">
        <f t="shared" si="60"/>
        <v>Muy Baja</v>
      </c>
      <c r="AE157" s="462">
        <f t="shared" si="61"/>
        <v>2.1772799999999995E-2</v>
      </c>
      <c r="AF157" s="461" t="str">
        <f t="shared" si="62"/>
        <v>Moderado</v>
      </c>
      <c r="AG157" s="462">
        <f>IFERROR(IF(AND(V156="Impacto",V157="Impacto"),(AG156-(+AG156*Y157)),IF(AND(V156="Probabilidad",V157="Impacto"),(AG155-(+AG155*Y157)),IF(V157="Probabilidad",AG156,""))),"")</f>
        <v>0.6</v>
      </c>
      <c r="AH157" s="463" t="str">
        <f t="shared" si="63"/>
        <v>Moderado</v>
      </c>
      <c r="AI157" s="464" t="s">
        <v>192</v>
      </c>
      <c r="AJ157" s="596"/>
      <c r="AK157" s="209"/>
      <c r="AL157" s="465"/>
      <c r="AM157" s="466"/>
      <c r="AN157" s="468"/>
    </row>
    <row r="158" spans="1:40" ht="409.5" x14ac:dyDescent="0.2">
      <c r="A158" s="446">
        <v>68</v>
      </c>
      <c r="B158" s="446" t="s">
        <v>698</v>
      </c>
      <c r="C158" s="447" t="s">
        <v>631</v>
      </c>
      <c r="D158" s="447" t="str">
        <f>IFERROR(INDEX('Base de datos gestión'!$D$28:$D$50,MATCH(C158,'Base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58" s="447" t="str">
        <f>IFERROR(INDEX('Base de datos gestión'!$E$28:$E$50,MATCH(C158,'Base de datos gestión'!$C$28:$C$50,0)), 0)</f>
        <v>El proceso inicia con la planificación de los servicios de ensayos de aptitud y estudios colaborativos (comparaciones interlaboratorios) y finaliza con la aplicación de la evaluación de la satisfacción del servicio.</v>
      </c>
      <c r="F158" s="474" t="s">
        <v>234</v>
      </c>
      <c r="G158" s="475" t="s">
        <v>699</v>
      </c>
      <c r="H158" s="474" t="s">
        <v>700</v>
      </c>
      <c r="I158" s="476" t="s">
        <v>701</v>
      </c>
      <c r="J158" s="476" t="s">
        <v>182</v>
      </c>
      <c r="K158" s="476" t="s">
        <v>183</v>
      </c>
      <c r="L158" s="476">
        <v>6</v>
      </c>
      <c r="M158" s="450" t="str">
        <f t="shared" si="56"/>
        <v>Baja</v>
      </c>
      <c r="N158" s="451">
        <f t="shared" si="65"/>
        <v>0.4</v>
      </c>
      <c r="O158" s="452" t="s">
        <v>677</v>
      </c>
      <c r="P158" s="451" t="str">
        <f>IF(NOT(ISERROR(MATCH(O158,'Tabla Impacto'!$B$222:$B$224,0))),'Tabla Impacto'!$F$224&amp;"Por favor no seleccionar los criterios de impacto(Afectación Económica o presupuestal y Pérdida Reputacional)",O158)</f>
        <v xml:space="preserve">     Afectación menor a 10 SMLMV .</v>
      </c>
      <c r="Q158" s="453" t="str">
        <f>IF(OR(P158='[1]Tabla Impacto'!$C$12,P158='[1]Tabla Impacto'!$D$12),"Leve",IF(OR(P158='[1]Tabla Impacto'!$C$13,P158='[1]Tabla Impacto'!$D$13),"Menor",IF(OR(P158='[1]Tabla Impacto'!$C$14,P158='[1]Tabla Impacto'!$D$14),"Moderado",IF(OR(P158='[1]Tabla Impacto'!$C$15,P158='[1]Tabla Impacto'!$D$15),"Mayor",IF(OR(P158='[1]Tabla Impacto'!$C$16,P158='[1]Tabla Impacto'!$D$16),"Catastrófico","")))))</f>
        <v>Leve</v>
      </c>
      <c r="R158" s="452">
        <f t="shared" si="57"/>
        <v>0.2</v>
      </c>
      <c r="S158" s="454" t="str">
        <f t="shared" si="58"/>
        <v>Bajo</v>
      </c>
      <c r="T158" s="457">
        <v>1</v>
      </c>
      <c r="U158" s="477" t="s">
        <v>702</v>
      </c>
      <c r="V158" s="457" t="str">
        <f t="shared" si="64"/>
        <v>Probabilidad</v>
      </c>
      <c r="W158" s="458" t="s">
        <v>187</v>
      </c>
      <c r="X158" s="458" t="s">
        <v>188</v>
      </c>
      <c r="Y158" s="459" t="str">
        <f t="shared" si="59"/>
        <v>40%</v>
      </c>
      <c r="Z158" s="458" t="s">
        <v>222</v>
      </c>
      <c r="AA158" s="458" t="s">
        <v>190</v>
      </c>
      <c r="AB158" s="458" t="s">
        <v>191</v>
      </c>
      <c r="AC158" s="460">
        <f>IFERROR(IF(V158="Probabilidad",(N158-(+N158*Y158)),IF(V158="Impacto",N158,"")),"")</f>
        <v>0.24</v>
      </c>
      <c r="AD158" s="461" t="str">
        <f t="shared" si="60"/>
        <v>Baja</v>
      </c>
      <c r="AE158" s="462">
        <f t="shared" si="61"/>
        <v>0.24</v>
      </c>
      <c r="AF158" s="461" t="str">
        <f t="shared" si="62"/>
        <v>Leve</v>
      </c>
      <c r="AG158" s="462">
        <f>IFERROR(IF(V158="Impacto",(R158-(+R158*Y158)),IF(V158="Probabilidad",R158,"")),"")</f>
        <v>0.2</v>
      </c>
      <c r="AH158" s="463" t="str">
        <f t="shared" si="63"/>
        <v>Bajo</v>
      </c>
      <c r="AI158" s="464" t="s">
        <v>192</v>
      </c>
      <c r="AJ158" s="596"/>
      <c r="AK158" s="209"/>
      <c r="AL158" s="465"/>
      <c r="AM158" s="466"/>
      <c r="AN158" s="468"/>
    </row>
    <row r="159" spans="1:40" ht="409.5" x14ac:dyDescent="0.2">
      <c r="A159" s="469">
        <v>69</v>
      </c>
      <c r="B159" s="469" t="s">
        <v>703</v>
      </c>
      <c r="C159" s="470" t="s">
        <v>704</v>
      </c>
      <c r="D159" s="447" t="str">
        <f>IFERROR(INDEX('Base de datos gestión'!$D$28:$D$50,MATCH(C159,'Base de datos gestión'!$C$28:$C$50,0)), 0)</f>
        <v>Prestar servicios de capacitación y formación en materia de metrología científica e industrial, mediante el diseño, programación y desarrollo de capacitaciones en metrología basadas en las necesidades del país en esta materia y aprobadas por las Subdirecciones del INM para la vigencia, que contribuyan a fortalecer la cultura metrológica en la industria nacional y en los laboratorios de calibración y ensayo.
Este proceso esta alineado con el objetivo estratégico B.1 Brindar herramientas que faciliten la diseminación de la trazabilidad y del conocimiento en metrología, para contribuir al aseguramiento de la calidad de los bienes y servicios que se producen y comercializan en el país.</v>
      </c>
      <c r="E159" s="447" t="str">
        <f>IFERROR(INDEX('Base de datos gestión'!$E$28:$E$50,MATCH(C159,'Base de datos gestión'!$C$28:$C$50,0)), 0)</f>
        <v>Inicia con el establecimiento de los procedimientos y demás documentos del proceso y culmina con la evaluación de la satisfacción de las capacitaciones y la toma de acciones de mejoramiento por parte de los responsables del proceso.</v>
      </c>
      <c r="F159" s="476" t="s">
        <v>234</v>
      </c>
      <c r="G159" s="475" t="s">
        <v>705</v>
      </c>
      <c r="H159" s="476" t="s">
        <v>706</v>
      </c>
      <c r="I159" s="476" t="s">
        <v>707</v>
      </c>
      <c r="J159" s="476" t="s">
        <v>238</v>
      </c>
      <c r="K159" s="476" t="s">
        <v>258</v>
      </c>
      <c r="L159" s="476">
        <v>30</v>
      </c>
      <c r="M159" s="450" t="str">
        <f t="shared" si="56"/>
        <v>Media</v>
      </c>
      <c r="N159" s="451">
        <f t="shared" si="65"/>
        <v>0.6</v>
      </c>
      <c r="O159" s="452" t="s">
        <v>597</v>
      </c>
      <c r="P159" s="451" t="str">
        <f>IF(NOT(ISERROR(MATCH(O159,'Tabla Impacto'!$B$222:$B$224,0))),'Tabla Impacto'!$F$224&amp;"Por favor no seleccionar los criterios de impacto(Afectación Económica o presupuestal y Pérdida Reputacional)",O159)</f>
        <v xml:space="preserve">     Entre 10 y 50 SMLMV </v>
      </c>
      <c r="Q159" s="453" t="str">
        <f>IF(OR(P159='[1]Tabla Impacto'!$C$12,P159='[1]Tabla Impacto'!$D$12),"Leve",IF(OR(P159='[1]Tabla Impacto'!$C$13,P159='[1]Tabla Impacto'!$D$13),"Menor",IF(OR(P159='[1]Tabla Impacto'!$C$14,P159='[1]Tabla Impacto'!$D$14),"Moderado",IF(OR(P159='[1]Tabla Impacto'!$C$15,P159='[1]Tabla Impacto'!$D$15),"Mayor",IF(OR(P159='[1]Tabla Impacto'!$C$16,P159='[1]Tabla Impacto'!$D$16),"Catastrófico","")))))</f>
        <v>Menor</v>
      </c>
      <c r="R159" s="452">
        <f t="shared" si="57"/>
        <v>0.4</v>
      </c>
      <c r="S159" s="454" t="str">
        <f t="shared" si="58"/>
        <v>Moderado</v>
      </c>
      <c r="T159" s="457">
        <v>1</v>
      </c>
      <c r="U159" s="477" t="s">
        <v>708</v>
      </c>
      <c r="V159" s="457" t="str">
        <f t="shared" si="64"/>
        <v>Probabilidad</v>
      </c>
      <c r="W159" s="458" t="s">
        <v>187</v>
      </c>
      <c r="X159" s="458" t="s">
        <v>341</v>
      </c>
      <c r="Y159" s="459" t="str">
        <f t="shared" si="59"/>
        <v>50%</v>
      </c>
      <c r="Z159" s="458" t="s">
        <v>222</v>
      </c>
      <c r="AA159" s="458" t="s">
        <v>190</v>
      </c>
      <c r="AB159" s="458" t="s">
        <v>191</v>
      </c>
      <c r="AC159" s="460">
        <f>IFERROR(IF(AND(V158="Probabilidad",V159="Probabilidad"),(AE158-(+AE158*Y159)),IF(V159="Probabilidad",(N158-(+N158*Y159)),IF(V159="Impacto",AE158,""))),"")</f>
        <v>0.12</v>
      </c>
      <c r="AD159" s="461" t="str">
        <f t="shared" si="60"/>
        <v>Muy Baja</v>
      </c>
      <c r="AE159" s="462">
        <f t="shared" si="61"/>
        <v>0.12</v>
      </c>
      <c r="AF159" s="461" t="str">
        <f t="shared" si="62"/>
        <v>Leve</v>
      </c>
      <c r="AG159" s="462">
        <f>IFERROR(IF(AND(V158="Impacto",V159="Impacto"),(AG152-(+AG152*Y159)),IF(V159="Impacto",($R$50-(+$R$50*Y159)),IF(V159="Probabilidad",AG152,""))),"")</f>
        <v>0.2</v>
      </c>
      <c r="AH159" s="463" t="str">
        <f t="shared" si="63"/>
        <v>Bajo</v>
      </c>
      <c r="AI159" s="464" t="s">
        <v>192</v>
      </c>
      <c r="AJ159" s="465"/>
      <c r="AK159" s="209"/>
      <c r="AL159" s="465"/>
      <c r="AM159" s="466"/>
      <c r="AN159" s="468"/>
    </row>
    <row r="160" spans="1:40" ht="409.5" x14ac:dyDescent="0.2">
      <c r="A160" s="469">
        <v>70</v>
      </c>
      <c r="B160" s="469" t="s">
        <v>709</v>
      </c>
      <c r="C160" s="470" t="s">
        <v>704</v>
      </c>
      <c r="D160" s="447" t="str">
        <f>IFERROR(INDEX('Base de datos gestión'!$D$28:$D$50,MATCH(C160,'Base de datos gestión'!$C$28:$C$50,0)), 0)</f>
        <v>Prestar servicios de capacitación y formación en materia de metrología científica e industrial, mediante el diseño, programación y desarrollo de capacitaciones en metrología basadas en las necesidades del país en esta materia y aprobadas por las Subdirecciones del INM para la vigencia, que contribuyan a fortalecer la cultura metrológica en la industria nacional y en los laboratorios de calibración y ensayo.
Este proceso esta alineado con el objetivo estratégico B.1 Brindar herramientas que faciliten la diseminación de la trazabilidad y del conocimiento en metrología, para contribuir al aseguramiento de la calidad de los bienes y servicios que se producen y comercializan en el país.</v>
      </c>
      <c r="E160" s="447" t="str">
        <f>IFERROR(INDEX('Base de datos gestión'!$E$28:$E$50,MATCH(C160,'Base de datos gestión'!$C$28:$C$50,0)), 0)</f>
        <v>Inicia con el establecimiento de los procedimientos y demás documentos del proceso y culmina con la evaluación de la satisfacción de las capacitaciones y la toma de acciones de mejoramiento por parte de los responsables del proceso.</v>
      </c>
      <c r="F160" s="474" t="s">
        <v>234</v>
      </c>
      <c r="G160" s="475" t="s">
        <v>710</v>
      </c>
      <c r="H160" s="474" t="s">
        <v>711</v>
      </c>
      <c r="I160" s="474" t="s">
        <v>712</v>
      </c>
      <c r="J160" s="476" t="s">
        <v>238</v>
      </c>
      <c r="K160" s="476" t="s">
        <v>258</v>
      </c>
      <c r="L160" s="476">
        <v>30</v>
      </c>
      <c r="M160" s="450" t="str">
        <f t="shared" si="56"/>
        <v>Media</v>
      </c>
      <c r="N160" s="451">
        <f t="shared" si="65"/>
        <v>0.6</v>
      </c>
      <c r="O160" s="452" t="s">
        <v>597</v>
      </c>
      <c r="P160" s="451" t="str">
        <f>IF(NOT(ISERROR(MATCH(O160,'Tabla Impacto'!$B$222:$B$224,0))),'Tabla Impacto'!$F$224&amp;"Por favor no seleccionar los criterios de impacto(Afectación Económica o presupuestal y Pérdida Reputacional)",O160)</f>
        <v xml:space="preserve">     Entre 10 y 50 SMLMV </v>
      </c>
      <c r="Q160" s="453" t="str">
        <f>IF(OR(P160='[1]Tabla Impacto'!$C$12,P160='[1]Tabla Impacto'!$D$12),"Leve",IF(OR(P160='[1]Tabla Impacto'!$C$13,P160='[1]Tabla Impacto'!$D$13),"Menor",IF(OR(P160='[1]Tabla Impacto'!$C$14,P160='[1]Tabla Impacto'!$D$14),"Moderado",IF(OR(P160='[1]Tabla Impacto'!$C$15,P160='[1]Tabla Impacto'!$D$15),"Mayor",IF(OR(P160='[1]Tabla Impacto'!$C$16,P160='[1]Tabla Impacto'!$D$16),"Catastrófico","")))))</f>
        <v>Menor</v>
      </c>
      <c r="R160" s="452">
        <f t="shared" si="57"/>
        <v>0.4</v>
      </c>
      <c r="S160" s="454" t="str">
        <f t="shared" si="58"/>
        <v>Moderado</v>
      </c>
      <c r="T160" s="457">
        <v>1</v>
      </c>
      <c r="U160" s="477" t="s">
        <v>713</v>
      </c>
      <c r="V160" s="457" t="str">
        <f t="shared" si="64"/>
        <v>Probabilidad</v>
      </c>
      <c r="W160" s="458" t="s">
        <v>187</v>
      </c>
      <c r="X160" s="458" t="s">
        <v>341</v>
      </c>
      <c r="Y160" s="459" t="str">
        <f t="shared" si="59"/>
        <v>50%</v>
      </c>
      <c r="Z160" s="458" t="s">
        <v>222</v>
      </c>
      <c r="AA160" s="458" t="s">
        <v>190</v>
      </c>
      <c r="AB160" s="458" t="s">
        <v>191</v>
      </c>
      <c r="AC160" s="460">
        <f>IFERROR(IF(AND(V159="Probabilidad",V160="Probabilidad"),(AE159-(+AE159*Y160)),IF(AND(V159="Impacto",V160="Probabilidad"),(AE158-(+AE158*Y160)),IF(V160="Impacto",AE159,""))),"")</f>
        <v>0.06</v>
      </c>
      <c r="AD160" s="461" t="str">
        <f t="shared" si="60"/>
        <v>Muy Baja</v>
      </c>
      <c r="AE160" s="462">
        <f t="shared" si="61"/>
        <v>0.06</v>
      </c>
      <c r="AF160" s="461" t="str">
        <f t="shared" si="62"/>
        <v>Leve</v>
      </c>
      <c r="AG160" s="462">
        <f>IFERROR(IF(AND(V159="Impacto",V160="Impacto"),(AG159-(+AG159*Y160)),IF(AND(V159="Probabilidad",V160="Impacto"),(AG158-(+AG158*Y160)),IF(V160="Probabilidad",AG159,""))),"")</f>
        <v>0.2</v>
      </c>
      <c r="AH160" s="463" t="str">
        <f t="shared" si="63"/>
        <v>Bajo</v>
      </c>
      <c r="AI160" s="464" t="s">
        <v>192</v>
      </c>
      <c r="AJ160" s="465"/>
      <c r="AK160" s="209"/>
      <c r="AL160" s="465"/>
      <c r="AM160" s="466"/>
      <c r="AN160" s="468"/>
    </row>
    <row r="161" spans="1:40" ht="409.5" x14ac:dyDescent="0.2">
      <c r="A161" s="469">
        <v>70</v>
      </c>
      <c r="B161" s="469" t="s">
        <v>709</v>
      </c>
      <c r="C161" s="470" t="s">
        <v>704</v>
      </c>
      <c r="D161" s="447" t="str">
        <f>IFERROR(INDEX('Base de datos gestión'!$D$28:$D$50,MATCH(C161,'Base de datos gestión'!$C$28:$C$50,0)), 0)</f>
        <v>Prestar servicios de capacitación y formación en materia de metrología científica e industrial, mediante el diseño, programación y desarrollo de capacitaciones en metrología basadas en las necesidades del país en esta materia y aprobadas por las Subdirecciones del INM para la vigencia, que contribuyan a fortalecer la cultura metrológica en la industria nacional y en los laboratorios de calibración y ensayo.
Este proceso esta alineado con el objetivo estratégico B.1 Brindar herramientas que faciliten la diseminación de la trazabilidad y del conocimiento en metrología, para contribuir al aseguramiento de la calidad de los bienes y servicios que se producen y comercializan en el país.</v>
      </c>
      <c r="E161" s="447" t="str">
        <f>IFERROR(INDEX('Base de datos gestión'!$E$28:$E$50,MATCH(C161,'Base de datos gestión'!$C$28:$C$50,0)), 0)</f>
        <v>Inicia con el establecimiento de los procedimientos y demás documentos del proceso y culmina con la evaluación de la satisfacción de las capacitaciones y la toma de acciones de mejoramiento por parte de los responsables del proceso.</v>
      </c>
      <c r="F161" s="474" t="s">
        <v>234</v>
      </c>
      <c r="G161" s="475" t="s">
        <v>710</v>
      </c>
      <c r="H161" s="474" t="s">
        <v>711</v>
      </c>
      <c r="I161" s="474" t="s">
        <v>712</v>
      </c>
      <c r="J161" s="476" t="s">
        <v>238</v>
      </c>
      <c r="K161" s="476" t="s">
        <v>258</v>
      </c>
      <c r="L161" s="476">
        <v>30</v>
      </c>
      <c r="M161" s="450" t="str">
        <f t="shared" si="56"/>
        <v>Media</v>
      </c>
      <c r="N161" s="451">
        <f t="shared" si="65"/>
        <v>0.6</v>
      </c>
      <c r="O161" s="452" t="s">
        <v>597</v>
      </c>
      <c r="P161" s="451" t="str">
        <f>IF(NOT(ISERROR(MATCH(O161,'Tabla Impacto'!$B$222:$B$224,0))),'Tabla Impacto'!$F$224&amp;"Por favor no seleccionar los criterios de impacto(Afectación Económica o presupuestal y Pérdida Reputacional)",O161)</f>
        <v xml:space="preserve">     Entre 10 y 50 SMLMV </v>
      </c>
      <c r="Q161" s="453" t="str">
        <f>IF(OR(P161='[1]Tabla Impacto'!$C$12,P161='[1]Tabla Impacto'!$D$12),"Leve",IF(OR(P161='[1]Tabla Impacto'!$C$13,P161='[1]Tabla Impacto'!$D$13),"Menor",IF(OR(P161='[1]Tabla Impacto'!$C$14,P161='[1]Tabla Impacto'!$D$14),"Moderado",IF(OR(P161='[1]Tabla Impacto'!$C$15,P161='[1]Tabla Impacto'!$D$15),"Mayor",IF(OR(P161='[1]Tabla Impacto'!$C$16,P161='[1]Tabla Impacto'!$D$16),"Catastrófico","")))))</f>
        <v>Menor</v>
      </c>
      <c r="R161" s="452">
        <f t="shared" si="57"/>
        <v>0.4</v>
      </c>
      <c r="S161" s="454" t="str">
        <f t="shared" si="58"/>
        <v>Moderado</v>
      </c>
      <c r="T161" s="457">
        <v>2</v>
      </c>
      <c r="U161" s="477" t="s">
        <v>714</v>
      </c>
      <c r="V161" s="457" t="str">
        <f t="shared" si="64"/>
        <v>Probabilidad</v>
      </c>
      <c r="W161" s="458" t="s">
        <v>187</v>
      </c>
      <c r="X161" s="458" t="s">
        <v>341</v>
      </c>
      <c r="Y161" s="459" t="str">
        <f t="shared" si="59"/>
        <v>50%</v>
      </c>
      <c r="Z161" s="458" t="s">
        <v>222</v>
      </c>
      <c r="AA161" s="458" t="s">
        <v>190</v>
      </c>
      <c r="AB161" s="458" t="s">
        <v>191</v>
      </c>
      <c r="AC161" s="460">
        <f>IFERROR(IF(AND(V160="Probabilidad",V161="Probabilidad"),(AE160-(+AE160*Y161)),IF(AND(V160="Impacto",V161="Probabilidad"),(AE159-(+AE159*Y161)),IF(V161="Impacto",AE160,""))),"")</f>
        <v>0.03</v>
      </c>
      <c r="AD161" s="461" t="str">
        <f t="shared" si="60"/>
        <v>Muy Baja</v>
      </c>
      <c r="AE161" s="462">
        <f t="shared" si="61"/>
        <v>0.03</v>
      </c>
      <c r="AF161" s="461" t="str">
        <f t="shared" si="62"/>
        <v>Leve</v>
      </c>
      <c r="AG161" s="462">
        <f>IFERROR(IF(AND(V160="Impacto",V161="Impacto"),(AG160-(+AG160*Y161)),IF(AND(V160="Probabilidad",V161="Impacto"),(AG159-(+AG159*Y161)),IF(V161="Probabilidad",AG160,""))),"")</f>
        <v>0.2</v>
      </c>
      <c r="AH161" s="463" t="str">
        <f t="shared" si="63"/>
        <v>Bajo</v>
      </c>
      <c r="AI161" s="464" t="s">
        <v>192</v>
      </c>
      <c r="AJ161" s="465"/>
      <c r="AK161" s="209"/>
      <c r="AL161" s="465"/>
      <c r="AM161" s="466"/>
      <c r="AN161" s="468"/>
    </row>
    <row r="162" spans="1:40" ht="409.5" x14ac:dyDescent="0.2">
      <c r="A162" s="469">
        <v>71</v>
      </c>
      <c r="B162" s="469" t="s">
        <v>715</v>
      </c>
      <c r="C162" s="470" t="s">
        <v>704</v>
      </c>
      <c r="D162" s="447" t="str">
        <f>IFERROR(INDEX('Base de datos gestión'!$D$28:$D$50,MATCH(C162,'Base de datos gestión'!$C$28:$C$50,0)), 0)</f>
        <v>Prestar servicios de capacitación y formación en materia de metrología científica e industrial, mediante el diseño, programación y desarrollo de capacitaciones en metrología basadas en las necesidades del país en esta materia y aprobadas por las Subdirecciones del INM para la vigencia, que contribuyan a fortalecer la cultura metrológica en la industria nacional y en los laboratorios de calibración y ensayo.
Este proceso esta alineado con el objetivo estratégico B.1 Brindar herramientas que faciliten la diseminación de la trazabilidad y del conocimiento en metrología, para contribuir al aseguramiento de la calidad de los bienes y servicios que se producen y comercializan en el país.</v>
      </c>
      <c r="E162" s="447" t="str">
        <f>IFERROR(INDEX('Base de datos gestión'!$E$28:$E$50,MATCH(C162,'Base de datos gestión'!$C$28:$C$50,0)), 0)</f>
        <v>Inicia con el establecimiento de los procedimientos y demás documentos del proceso y culmina con la evaluación de la satisfacción de las capacitaciones y la toma de acciones de mejoramiento por parte de los responsables del proceso.</v>
      </c>
      <c r="F162" s="474" t="s">
        <v>234</v>
      </c>
      <c r="G162" s="475" t="s">
        <v>716</v>
      </c>
      <c r="H162" s="474" t="s">
        <v>717</v>
      </c>
      <c r="I162" s="474" t="s">
        <v>718</v>
      </c>
      <c r="J162" s="476" t="s">
        <v>238</v>
      </c>
      <c r="K162" s="476" t="s">
        <v>258</v>
      </c>
      <c r="L162" s="476">
        <v>30</v>
      </c>
      <c r="M162" s="450" t="str">
        <f t="shared" si="56"/>
        <v>Media</v>
      </c>
      <c r="N162" s="451">
        <f t="shared" si="65"/>
        <v>0.6</v>
      </c>
      <c r="O162" s="452" t="s">
        <v>597</v>
      </c>
      <c r="P162" s="451" t="str">
        <f>IF(NOT(ISERROR(MATCH(O162,'Tabla Impacto'!$B$222:$B$224,0))),'Tabla Impacto'!$F$224&amp;"Por favor no seleccionar los criterios de impacto(Afectación Económica o presupuestal y Pérdida Reputacional)",O162)</f>
        <v xml:space="preserve">     Entre 10 y 50 SMLMV </v>
      </c>
      <c r="Q162" s="453" t="str">
        <f>IF(OR(P162='[1]Tabla Impacto'!$C$12,P162='[1]Tabla Impacto'!$D$12),"Leve",IF(OR(P162='[1]Tabla Impacto'!$C$13,P162='[1]Tabla Impacto'!$D$13),"Menor",IF(OR(P162='[1]Tabla Impacto'!$C$14,P162='[1]Tabla Impacto'!$D$14),"Moderado",IF(OR(P162='[1]Tabla Impacto'!$C$15,P162='[1]Tabla Impacto'!$D$15),"Mayor",IF(OR(P162='[1]Tabla Impacto'!$C$16,P162='[1]Tabla Impacto'!$D$16),"Catastrófico","")))))</f>
        <v>Menor</v>
      </c>
      <c r="R162" s="452">
        <f t="shared" si="57"/>
        <v>0.4</v>
      </c>
      <c r="S162" s="454" t="str">
        <f t="shared" si="58"/>
        <v>Moderado</v>
      </c>
      <c r="T162" s="457">
        <v>1</v>
      </c>
      <c r="U162" s="477" t="s">
        <v>719</v>
      </c>
      <c r="V162" s="457" t="str">
        <f t="shared" si="64"/>
        <v>Probabilidad</v>
      </c>
      <c r="W162" s="458" t="s">
        <v>187</v>
      </c>
      <c r="X162" s="458" t="s">
        <v>188</v>
      </c>
      <c r="Y162" s="459" t="str">
        <f t="shared" si="59"/>
        <v>40%</v>
      </c>
      <c r="Z162" s="458" t="s">
        <v>222</v>
      </c>
      <c r="AA162" s="458" t="s">
        <v>190</v>
      </c>
      <c r="AB162" s="458" t="s">
        <v>191</v>
      </c>
      <c r="AC162" s="460">
        <f>IFERROR(IF(AND(V161="Probabilidad",V162="Probabilidad"),(AE161-(+AE161*Y162)),IF(AND(V161="Impacto",V162="Probabilidad"),(AE160-(+AE160*Y162)),IF(V162="Impacto",AE161,""))),"")</f>
        <v>1.7999999999999999E-2</v>
      </c>
      <c r="AD162" s="461" t="str">
        <f t="shared" si="60"/>
        <v>Muy Baja</v>
      </c>
      <c r="AE162" s="462">
        <f t="shared" si="61"/>
        <v>1.7999999999999999E-2</v>
      </c>
      <c r="AF162" s="461" t="str">
        <f t="shared" si="62"/>
        <v>Leve</v>
      </c>
      <c r="AG162" s="462">
        <f>IFERROR(IF(AND(V161="Impacto",V162="Impacto"),(AG161-(+AG161*Y162)),IF(AND(V161="Probabilidad",V162="Impacto"),(AG160-(+AG160*Y162)),IF(V162="Probabilidad",AG161,""))),"")</f>
        <v>0.2</v>
      </c>
      <c r="AH162" s="463" t="str">
        <f t="shared" si="63"/>
        <v>Bajo</v>
      </c>
      <c r="AI162" s="464" t="s">
        <v>192</v>
      </c>
      <c r="AJ162" s="476"/>
      <c r="AK162" s="209"/>
      <c r="AL162" s="476"/>
      <c r="AM162" s="480"/>
      <c r="AN162" s="468"/>
    </row>
    <row r="163" spans="1:40" ht="409.5" x14ac:dyDescent="0.2">
      <c r="A163" s="478">
        <v>71</v>
      </c>
      <c r="B163" s="478" t="s">
        <v>715</v>
      </c>
      <c r="C163" s="479" t="s">
        <v>704</v>
      </c>
      <c r="D163" s="447" t="str">
        <f>IFERROR(INDEX('Base de datos gestión'!$D$28:$D$50,MATCH(C163,'Base de datos gestión'!$C$28:$C$50,0)), 0)</f>
        <v>Prestar servicios de capacitación y formación en materia de metrología científica e industrial, mediante el diseño, programación y desarrollo de capacitaciones en metrología basadas en las necesidades del país en esta materia y aprobadas por las Subdirecciones del INM para la vigencia, que contribuyan a fortalecer la cultura metrológica en la industria nacional y en los laboratorios de calibración y ensayo.
Este proceso esta alineado con el objetivo estratégico B.1 Brindar herramientas que faciliten la diseminación de la trazabilidad y del conocimiento en metrología, para contribuir al aseguramiento de la calidad de los bienes y servicios que se producen y comercializan en el país.</v>
      </c>
      <c r="E163" s="447" t="str">
        <f>IFERROR(INDEX('Base de datos gestión'!$E$28:$E$50,MATCH(C163,'Base de datos gestión'!$C$28:$C$50,0)), 0)</f>
        <v>Inicia con el establecimiento de los procedimientos y demás documentos del proceso y culmina con la evaluación de la satisfacción de las capacitaciones y la toma de acciones de mejoramiento por parte de los responsables del proceso.</v>
      </c>
      <c r="F163" s="474" t="s">
        <v>234</v>
      </c>
      <c r="G163" s="475" t="s">
        <v>716</v>
      </c>
      <c r="H163" s="474" t="s">
        <v>717</v>
      </c>
      <c r="I163" s="474" t="s">
        <v>718</v>
      </c>
      <c r="J163" s="476" t="s">
        <v>238</v>
      </c>
      <c r="K163" s="476" t="s">
        <v>258</v>
      </c>
      <c r="L163" s="476">
        <v>30</v>
      </c>
      <c r="M163" s="450" t="str">
        <f t="shared" si="56"/>
        <v>Media</v>
      </c>
      <c r="N163" s="451">
        <f t="shared" si="65"/>
        <v>0.6</v>
      </c>
      <c r="O163" s="452" t="s">
        <v>597</v>
      </c>
      <c r="P163" s="451" t="str">
        <f>IF(NOT(ISERROR(MATCH(O163,'Tabla Impacto'!$B$222:$B$224,0))),'Tabla Impacto'!$F$224&amp;"Por favor no seleccionar los criterios de impacto(Afectación Económica o presupuestal y Pérdida Reputacional)",O163)</f>
        <v xml:space="preserve">     Entre 10 y 50 SMLMV </v>
      </c>
      <c r="Q163" s="453" t="str">
        <f>IF(OR(P163='[1]Tabla Impacto'!$C$12,P163='[1]Tabla Impacto'!$D$12),"Leve",IF(OR(P163='[1]Tabla Impacto'!$C$13,P163='[1]Tabla Impacto'!$D$13),"Menor",IF(OR(P163='[1]Tabla Impacto'!$C$14,P163='[1]Tabla Impacto'!$D$14),"Moderado",IF(OR(P163='[1]Tabla Impacto'!$C$15,P163='[1]Tabla Impacto'!$D$15),"Mayor",IF(OR(P163='[1]Tabla Impacto'!$C$16,P163='[1]Tabla Impacto'!$D$16),"Catastrófico","")))))</f>
        <v>Menor</v>
      </c>
      <c r="R163" s="452">
        <f t="shared" si="57"/>
        <v>0.4</v>
      </c>
      <c r="S163" s="454" t="str">
        <f t="shared" si="58"/>
        <v>Moderado</v>
      </c>
      <c r="T163" s="457">
        <v>2</v>
      </c>
      <c r="U163" s="477" t="s">
        <v>720</v>
      </c>
      <c r="V163" s="457" t="str">
        <f t="shared" si="64"/>
        <v>Impacto</v>
      </c>
      <c r="W163" s="458" t="s">
        <v>209</v>
      </c>
      <c r="X163" s="458" t="s">
        <v>188</v>
      </c>
      <c r="Y163" s="459" t="str">
        <f t="shared" si="59"/>
        <v>25%</v>
      </c>
      <c r="Z163" s="458" t="s">
        <v>222</v>
      </c>
      <c r="AA163" s="458" t="s">
        <v>190</v>
      </c>
      <c r="AB163" s="458" t="s">
        <v>191</v>
      </c>
      <c r="AC163" s="460">
        <f>IFERROR(IF(AND(V162="Probabilidad",V163="Probabilidad"),(AE162-(+AE162*Y163)),IF(AND(V162="Impacto",V163="Probabilidad"),(AE161-(+AE161*Y163)),IF(V163="Impacto",AE162,""))),"")</f>
        <v>1.7999999999999999E-2</v>
      </c>
      <c r="AD163" s="461" t="str">
        <f t="shared" si="60"/>
        <v>Muy Baja</v>
      </c>
      <c r="AE163" s="462">
        <f t="shared" si="61"/>
        <v>1.7999999999999999E-2</v>
      </c>
      <c r="AF163" s="461" t="str">
        <f t="shared" si="62"/>
        <v>Leve</v>
      </c>
      <c r="AG163" s="462">
        <f>IFERROR(IF(AND(V162="Impacto",V163="Impacto"),(AG162-(+AG162*Y163)),IF(AND(V162="Probabilidad",V163="Impacto"),(AG161-(+AG161*Y163)),IF(V163="Probabilidad",AG162,""))),"")</f>
        <v>0.15000000000000002</v>
      </c>
      <c r="AH163" s="463" t="str">
        <f t="shared" si="63"/>
        <v>Bajo</v>
      </c>
      <c r="AI163" s="464" t="s">
        <v>192</v>
      </c>
      <c r="AJ163" s="482"/>
      <c r="AK163" s="209"/>
      <c r="AL163" s="482"/>
      <c r="AM163" s="483"/>
      <c r="AN163" s="468"/>
    </row>
    <row r="164" spans="1:40" ht="342" x14ac:dyDescent="0.2">
      <c r="A164" s="446">
        <v>72</v>
      </c>
      <c r="B164" s="446" t="s">
        <v>721</v>
      </c>
      <c r="C164" s="447" t="s">
        <v>722</v>
      </c>
      <c r="D164" s="447" t="str">
        <f>IFERROR(INDEX('Base de datos gestión'!$D$28:$D$50,MATCH(C164,'Base de datos gestión'!$C$28:$C$50,0)), 0)</f>
        <v>Impulsar permanentemente las competencias metrológicas del país a través del establecimiento y operación de la USN (Unidad Sectorial de Normalización), al igual que el desarrollo de espacios de interacción y comunicación, liderados por el INM, donde de acuerdo con planes de trabajo establecidos se identifiquen necesidades y capacidades para proponer herramientas que permitan fortalecer la metrología científica e industrial y consolidar la confianza en los servicios metrológicos.</v>
      </c>
      <c r="E164" s="447" t="str">
        <f>IFERROR(INDEX('Base de datos gestión'!$E$28:$E$50,MATCH(C164,'Base de datos gestión'!$C$28:$C$50,0)), 0)</f>
        <v>Inicia con la detección de las necesidades en metrología hasta la prestación de los servicios metrológicos a los laboratorios de metrología de nivel nacional, creando sinergias que permitan la gestión del conocimiento y la actuación compartida entre diferentes instituciones.</v>
      </c>
      <c r="F164" s="474" t="s">
        <v>178</v>
      </c>
      <c r="G164" s="475" t="s">
        <v>723</v>
      </c>
      <c r="H164" s="476" t="s">
        <v>724</v>
      </c>
      <c r="I164" s="476" t="s">
        <v>725</v>
      </c>
      <c r="J164" s="476" t="s">
        <v>182</v>
      </c>
      <c r="K164" s="476" t="s">
        <v>183</v>
      </c>
      <c r="L164" s="476">
        <v>100</v>
      </c>
      <c r="M164" s="450" t="str">
        <f t="shared" ref="M164:M227" si="66">IF(L164&lt;=0,"",IF(L164&lt;=2,"Muy Baja",IF(L164&lt;=24,"Baja",IF(L164&lt;=500,"Media",IF(L164&lt;=5000,"Alta","Muy Alta")))))</f>
        <v>Media</v>
      </c>
      <c r="N164" s="451">
        <f t="shared" si="65"/>
        <v>0.6</v>
      </c>
      <c r="O164" s="452" t="s">
        <v>339</v>
      </c>
      <c r="P164" s="451" t="str">
        <f>IF(NOT(ISERROR(MATCH(O164,'Tabla Impacto'!$B$222:$B$224,0))),'Tabla Impacto'!$F$224&amp;"Por favor no seleccionar los criterios de impacto(Afectación Económica o presupuestal y Pérdida Reputacional)",O164)</f>
        <v xml:space="preserve">     El riesgo afecta la imagen de la entidad a nivel nacional, con efecto publicitarios sostenible a nivel país</v>
      </c>
      <c r="Q164" s="453" t="str">
        <f>IF(OR(P164='[1]Tabla Impacto'!$C$12,P164='[1]Tabla Impacto'!$D$12),"Leve",IF(OR(P164='[1]Tabla Impacto'!$C$13,P164='[1]Tabla Impacto'!$D$13),"Menor",IF(OR(P164='[1]Tabla Impacto'!$C$14,P164='[1]Tabla Impacto'!$D$14),"Moderado",IF(OR(P164='[1]Tabla Impacto'!$C$15,P164='[1]Tabla Impacto'!$D$15),"Mayor",IF(OR(P164='[1]Tabla Impacto'!$C$16,P164='[1]Tabla Impacto'!$D$16),"Catastrófico","")))))</f>
        <v>Catastrófico</v>
      </c>
      <c r="R164" s="452">
        <f t="shared" si="57"/>
        <v>1</v>
      </c>
      <c r="S164" s="454" t="str">
        <f t="shared" si="58"/>
        <v>Extremo</v>
      </c>
      <c r="T164" s="457">
        <v>1</v>
      </c>
      <c r="U164" s="477" t="s">
        <v>726</v>
      </c>
      <c r="V164" s="457" t="str">
        <f t="shared" si="64"/>
        <v>Probabilidad</v>
      </c>
      <c r="W164" s="458" t="s">
        <v>187</v>
      </c>
      <c r="X164" s="458" t="s">
        <v>188</v>
      </c>
      <c r="Y164" s="459" t="str">
        <f t="shared" si="59"/>
        <v>40%</v>
      </c>
      <c r="Z164" s="458" t="s">
        <v>222</v>
      </c>
      <c r="AA164" s="458" t="s">
        <v>202</v>
      </c>
      <c r="AB164" s="458" t="s">
        <v>191</v>
      </c>
      <c r="AC164" s="460">
        <f>IFERROR(IF(V164="Probabilidad",(N164-(+N164*Y164)),IF(V164="Impacto",N164,"")),"")</f>
        <v>0.36</v>
      </c>
      <c r="AD164" s="461" t="str">
        <f t="shared" si="60"/>
        <v>Baja</v>
      </c>
      <c r="AE164" s="462">
        <f t="shared" si="61"/>
        <v>0.36</v>
      </c>
      <c r="AF164" s="461" t="str">
        <f t="shared" si="62"/>
        <v>Catastrófico</v>
      </c>
      <c r="AG164" s="462">
        <f>IFERROR(IF(V164="Impacto",(R164-(+R164*Y164)),IF(V164="Probabilidad",R164,"")),"")</f>
        <v>1</v>
      </c>
      <c r="AH164" s="463" t="str">
        <f t="shared" si="63"/>
        <v>Extremo</v>
      </c>
      <c r="AI164" s="464" t="s">
        <v>192</v>
      </c>
      <c r="AJ164" s="465"/>
      <c r="AK164" s="209"/>
      <c r="AL164" s="465"/>
      <c r="AM164" s="466"/>
      <c r="AN164" s="468"/>
    </row>
    <row r="165" spans="1:40" ht="342" x14ac:dyDescent="0.2">
      <c r="A165" s="469">
        <v>72</v>
      </c>
      <c r="B165" s="469" t="s">
        <v>721</v>
      </c>
      <c r="C165" s="470" t="s">
        <v>722</v>
      </c>
      <c r="D165" s="447" t="str">
        <f>IFERROR(INDEX('Base de datos gestión'!$D$28:$D$50,MATCH(C165,'Base de datos gestión'!$C$28:$C$50,0)), 0)</f>
        <v>Impulsar permanentemente las competencias metrológicas del país a través del establecimiento y operación de la USN (Unidad Sectorial de Normalización), al igual que el desarrollo de espacios de interacción y comunicación, liderados por el INM, donde de acuerdo con planes de trabajo establecidos se identifiquen necesidades y capacidades para proponer herramientas que permitan fortalecer la metrología científica e industrial y consolidar la confianza en los servicios metrológicos.</v>
      </c>
      <c r="E165" s="447" t="str">
        <f>IFERROR(INDEX('Base de datos gestión'!$E$28:$E$50,MATCH(C165,'Base de datos gestión'!$C$28:$C$50,0)), 0)</f>
        <v>Inicia con la detección de las necesidades en metrología hasta la prestación de los servicios metrológicos a los laboratorios de metrología de nivel nacional, creando sinergias que permitan la gestión del conocimiento y la actuación compartida entre diferentes instituciones.</v>
      </c>
      <c r="F165" s="474" t="s">
        <v>178</v>
      </c>
      <c r="G165" s="475" t="s">
        <v>723</v>
      </c>
      <c r="H165" s="476" t="s">
        <v>727</v>
      </c>
      <c r="I165" s="481" t="s">
        <v>725</v>
      </c>
      <c r="J165" s="476" t="s">
        <v>182</v>
      </c>
      <c r="K165" s="476" t="s">
        <v>183</v>
      </c>
      <c r="L165" s="476">
        <v>100</v>
      </c>
      <c r="M165" s="450" t="str">
        <f t="shared" si="66"/>
        <v>Media</v>
      </c>
      <c r="N165" s="451">
        <f t="shared" si="65"/>
        <v>0.6</v>
      </c>
      <c r="O165" s="452" t="s">
        <v>339</v>
      </c>
      <c r="P165" s="451" t="str">
        <f>IF(NOT(ISERROR(MATCH(O165,'Tabla Impacto'!$B$222:$B$224,0))),'Tabla Impacto'!$F$224&amp;"Por favor no seleccionar los criterios de impacto(Afectación Económica o presupuestal y Pérdida Reputacional)",O165)</f>
        <v xml:space="preserve">     El riesgo afecta la imagen de la entidad a nivel nacional, con efecto publicitarios sostenible a nivel país</v>
      </c>
      <c r="Q165" s="453" t="str">
        <f>IF(OR(P165='[1]Tabla Impacto'!$C$12,P165='[1]Tabla Impacto'!$D$12),"Leve",IF(OR(P165='[1]Tabla Impacto'!$C$13,P165='[1]Tabla Impacto'!$D$13),"Menor",IF(OR(P165='[1]Tabla Impacto'!$C$14,P165='[1]Tabla Impacto'!$D$14),"Moderado",IF(OR(P165='[1]Tabla Impacto'!$C$15,P165='[1]Tabla Impacto'!$D$15),"Mayor",IF(OR(P165='[1]Tabla Impacto'!$C$16,P165='[1]Tabla Impacto'!$D$16),"Catastrófico","")))))</f>
        <v>Catastrófico</v>
      </c>
      <c r="R165" s="452">
        <f t="shared" si="57"/>
        <v>1</v>
      </c>
      <c r="S165" s="454" t="str">
        <f t="shared" si="58"/>
        <v>Extremo</v>
      </c>
      <c r="T165" s="457">
        <v>2</v>
      </c>
      <c r="U165" s="477" t="s">
        <v>728</v>
      </c>
      <c r="V165" s="457" t="str">
        <f t="shared" si="64"/>
        <v>Probabilidad</v>
      </c>
      <c r="W165" s="458" t="s">
        <v>187</v>
      </c>
      <c r="X165" s="458" t="s">
        <v>188</v>
      </c>
      <c r="Y165" s="459" t="str">
        <f t="shared" si="59"/>
        <v>40%</v>
      </c>
      <c r="Z165" s="458" t="s">
        <v>222</v>
      </c>
      <c r="AA165" s="458" t="s">
        <v>190</v>
      </c>
      <c r="AB165" s="458" t="s">
        <v>191</v>
      </c>
      <c r="AC165" s="460">
        <f>IFERROR(IF(AND(V164="Probabilidad",V165="Probabilidad"),(AE164-(+AE164*Y165)),IF(V165="Probabilidad",(N164-(+N164*Y165)),IF(V165="Impacto",AE164,""))),"")</f>
        <v>0.216</v>
      </c>
      <c r="AD165" s="461" t="str">
        <f t="shared" si="60"/>
        <v>Baja</v>
      </c>
      <c r="AE165" s="462">
        <f t="shared" si="61"/>
        <v>0.216</v>
      </c>
      <c r="AF165" s="461" t="str">
        <f t="shared" si="62"/>
        <v>Leve</v>
      </c>
      <c r="AG165" s="462">
        <f>IFERROR(IF(AND(V164="Impacto",V165="Impacto"),(AG158-(+AG158*Y165)),IF(V165="Impacto",($R$56-(+$R$56*Y165)),IF(V165="Probabilidad",AG158,""))),"")</f>
        <v>0.2</v>
      </c>
      <c r="AH165" s="463" t="str">
        <f t="shared" si="63"/>
        <v>Bajo</v>
      </c>
      <c r="AI165" s="464" t="s">
        <v>192</v>
      </c>
      <c r="AJ165" s="465"/>
      <c r="AK165" s="209"/>
      <c r="AL165" s="465"/>
      <c r="AM165" s="466"/>
      <c r="AN165" s="468"/>
    </row>
    <row r="166" spans="1:40" ht="342" x14ac:dyDescent="0.2">
      <c r="A166" s="469">
        <v>72</v>
      </c>
      <c r="B166" s="469" t="s">
        <v>721</v>
      </c>
      <c r="C166" s="470" t="s">
        <v>722</v>
      </c>
      <c r="D166" s="447" t="str">
        <f>IFERROR(INDEX('Base de datos gestión'!$D$28:$D$50,MATCH(C166,'Base de datos gestión'!$C$28:$C$50,0)), 0)</f>
        <v>Impulsar permanentemente las competencias metrológicas del país a través del establecimiento y operación de la USN (Unidad Sectorial de Normalización), al igual que el desarrollo de espacios de interacción y comunicación, liderados por el INM, donde de acuerdo con planes de trabajo establecidos se identifiquen necesidades y capacidades para proponer herramientas que permitan fortalecer la metrología científica e industrial y consolidar la confianza en los servicios metrológicos.</v>
      </c>
      <c r="E166" s="447" t="str">
        <f>IFERROR(INDEX('Base de datos gestión'!$E$28:$E$50,MATCH(C166,'Base de datos gestión'!$C$28:$C$50,0)), 0)</f>
        <v>Inicia con la detección de las necesidades en metrología hasta la prestación de los servicios metrológicos a los laboratorios de metrología de nivel nacional, creando sinergias que permitan la gestión del conocimiento y la actuación compartida entre diferentes instituciones.</v>
      </c>
      <c r="F166" s="474" t="s">
        <v>178</v>
      </c>
      <c r="G166" s="475" t="s">
        <v>723</v>
      </c>
      <c r="H166" s="496" t="s">
        <v>729</v>
      </c>
      <c r="I166" s="481" t="s">
        <v>725</v>
      </c>
      <c r="J166" s="476" t="s">
        <v>182</v>
      </c>
      <c r="K166" s="476" t="s">
        <v>183</v>
      </c>
      <c r="L166" s="476">
        <v>100</v>
      </c>
      <c r="M166" s="450" t="str">
        <f t="shared" si="66"/>
        <v>Media</v>
      </c>
      <c r="N166" s="451">
        <f t="shared" si="65"/>
        <v>0.6</v>
      </c>
      <c r="O166" s="452" t="s">
        <v>339</v>
      </c>
      <c r="P166" s="451" t="str">
        <f>IF(NOT(ISERROR(MATCH(O166,'Tabla Impacto'!$B$222:$B$224,0))),'Tabla Impacto'!$F$224&amp;"Por favor no seleccionar los criterios de impacto(Afectación Económica o presupuestal y Pérdida Reputacional)",O166)</f>
        <v xml:space="preserve">     El riesgo afecta la imagen de la entidad a nivel nacional, con efecto publicitarios sostenible a nivel país</v>
      </c>
      <c r="Q166" s="453" t="str">
        <f>IF(OR(P166='[1]Tabla Impacto'!$C$12,P166='[1]Tabla Impacto'!$D$12),"Leve",IF(OR(P166='[1]Tabla Impacto'!$C$13,P166='[1]Tabla Impacto'!$D$13),"Menor",IF(OR(P166='[1]Tabla Impacto'!$C$14,P166='[1]Tabla Impacto'!$D$14),"Moderado",IF(OR(P166='[1]Tabla Impacto'!$C$15,P166='[1]Tabla Impacto'!$D$15),"Mayor",IF(OR(P166='[1]Tabla Impacto'!$C$16,P166='[1]Tabla Impacto'!$D$16),"Catastrófico","")))))</f>
        <v>Catastrófico</v>
      </c>
      <c r="R166" s="452">
        <f t="shared" si="57"/>
        <v>1</v>
      </c>
      <c r="S166" s="454" t="str">
        <f t="shared" si="58"/>
        <v>Extremo</v>
      </c>
      <c r="T166" s="457">
        <v>3</v>
      </c>
      <c r="U166" s="477" t="s">
        <v>730</v>
      </c>
      <c r="V166" s="457" t="str">
        <f t="shared" si="64"/>
        <v>Probabilidad</v>
      </c>
      <c r="W166" s="458" t="s">
        <v>187</v>
      </c>
      <c r="X166" s="458" t="s">
        <v>188</v>
      </c>
      <c r="Y166" s="459" t="str">
        <f t="shared" si="59"/>
        <v>40%</v>
      </c>
      <c r="Z166" s="458" t="s">
        <v>189</v>
      </c>
      <c r="AA166" s="458" t="s">
        <v>202</v>
      </c>
      <c r="AB166" s="458" t="s">
        <v>191</v>
      </c>
      <c r="AC166" s="460">
        <f>IFERROR(IF(AND(V165="Probabilidad",V166="Probabilidad"),(AE165-(+AE165*Y166)),IF(AND(V165="Impacto",V166="Probabilidad"),(AE164-(+AE164*Y166)),IF(V166="Impacto",AE165,""))),"")</f>
        <v>0.12959999999999999</v>
      </c>
      <c r="AD166" s="461" t="str">
        <f t="shared" si="60"/>
        <v>Muy Baja</v>
      </c>
      <c r="AE166" s="462">
        <f t="shared" si="61"/>
        <v>0.12959999999999999</v>
      </c>
      <c r="AF166" s="461" t="str">
        <f t="shared" si="62"/>
        <v>Leve</v>
      </c>
      <c r="AG166" s="462">
        <f>IFERROR(IF(AND(V165="Impacto",V166="Impacto"),(AG165-(+AG165*Y166)),IF(AND(V165="Probabilidad",V166="Impacto"),(AG164-(+AG164*Y166)),IF(V166="Probabilidad",AG165,""))),"")</f>
        <v>0.2</v>
      </c>
      <c r="AH166" s="463" t="str">
        <f t="shared" si="63"/>
        <v>Bajo</v>
      </c>
      <c r="AI166" s="464" t="s">
        <v>192</v>
      </c>
      <c r="AJ166" s="465"/>
      <c r="AK166" s="209"/>
      <c r="AL166" s="465"/>
      <c r="AM166" s="466"/>
      <c r="AN166" s="468"/>
    </row>
    <row r="167" spans="1:40" ht="342" x14ac:dyDescent="0.2">
      <c r="A167" s="469">
        <v>72</v>
      </c>
      <c r="B167" s="469" t="s">
        <v>721</v>
      </c>
      <c r="C167" s="470" t="s">
        <v>722</v>
      </c>
      <c r="D167" s="447" t="str">
        <f>IFERROR(INDEX('Base de datos gestión'!$D$28:$D$50,MATCH(C167,'Base de datos gestión'!$C$28:$C$50,0)), 0)</f>
        <v>Impulsar permanentemente las competencias metrológicas del país a través del establecimiento y operación de la USN (Unidad Sectorial de Normalización), al igual que el desarrollo de espacios de interacción y comunicación, liderados por el INM, donde de acuerdo con planes de trabajo establecidos se identifiquen necesidades y capacidades para proponer herramientas que permitan fortalecer la metrología científica e industrial y consolidar la confianza en los servicios metrológicos.</v>
      </c>
      <c r="E167" s="447" t="str">
        <f>IFERROR(INDEX('Base de datos gestión'!$E$28:$E$50,MATCH(C167,'Base de datos gestión'!$C$28:$C$50,0)), 0)</f>
        <v>Inicia con la detección de las necesidades en metrología hasta la prestación de los servicios metrológicos a los laboratorios de metrología de nivel nacional, creando sinergias que permitan la gestión del conocimiento y la actuación compartida entre diferentes instituciones.</v>
      </c>
      <c r="F167" s="474" t="s">
        <v>178</v>
      </c>
      <c r="G167" s="475" t="s">
        <v>723</v>
      </c>
      <c r="H167" s="496" t="s">
        <v>731</v>
      </c>
      <c r="I167" s="481" t="s">
        <v>725</v>
      </c>
      <c r="J167" s="476" t="s">
        <v>182</v>
      </c>
      <c r="K167" s="476" t="s">
        <v>183</v>
      </c>
      <c r="L167" s="476">
        <v>100</v>
      </c>
      <c r="M167" s="450" t="str">
        <f t="shared" si="66"/>
        <v>Media</v>
      </c>
      <c r="N167" s="451">
        <f t="shared" si="65"/>
        <v>0.6</v>
      </c>
      <c r="O167" s="452" t="s">
        <v>339</v>
      </c>
      <c r="P167" s="451" t="str">
        <f>IF(NOT(ISERROR(MATCH(O167,'Tabla Impacto'!$B$222:$B$224,0))),'Tabla Impacto'!$F$224&amp;"Por favor no seleccionar los criterios de impacto(Afectación Económica o presupuestal y Pérdida Reputacional)",O167)</f>
        <v xml:space="preserve">     El riesgo afecta la imagen de la entidad a nivel nacional, con efecto publicitarios sostenible a nivel país</v>
      </c>
      <c r="Q167" s="453" t="str">
        <f>IF(OR(P167='[1]Tabla Impacto'!$C$12,P167='[1]Tabla Impacto'!$D$12),"Leve",IF(OR(P167='[1]Tabla Impacto'!$C$13,P167='[1]Tabla Impacto'!$D$13),"Menor",IF(OR(P167='[1]Tabla Impacto'!$C$14,P167='[1]Tabla Impacto'!$D$14),"Moderado",IF(OR(P167='[1]Tabla Impacto'!$C$15,P167='[1]Tabla Impacto'!$D$15),"Mayor",IF(OR(P167='[1]Tabla Impacto'!$C$16,P167='[1]Tabla Impacto'!$D$16),"Catastrófico","")))))</f>
        <v>Catastrófico</v>
      </c>
      <c r="R167" s="452">
        <f t="shared" si="57"/>
        <v>1</v>
      </c>
      <c r="S167" s="454" t="str">
        <f t="shared" si="58"/>
        <v>Extremo</v>
      </c>
      <c r="T167" s="457">
        <v>4</v>
      </c>
      <c r="U167" s="477" t="s">
        <v>732</v>
      </c>
      <c r="V167" s="457" t="str">
        <f t="shared" si="64"/>
        <v>Probabilidad</v>
      </c>
      <c r="W167" s="458" t="s">
        <v>228</v>
      </c>
      <c r="X167" s="458" t="s">
        <v>188</v>
      </c>
      <c r="Y167" s="459" t="str">
        <f t="shared" si="59"/>
        <v>30%</v>
      </c>
      <c r="Z167" s="458" t="s">
        <v>222</v>
      </c>
      <c r="AA167" s="458" t="s">
        <v>190</v>
      </c>
      <c r="AB167" s="458" t="s">
        <v>191</v>
      </c>
      <c r="AC167" s="460">
        <f>IFERROR(IF(AND(V166="Probabilidad",V167="Probabilidad"),(AE166-(+AE166*Y167)),IF(AND(V166="Impacto",V167="Probabilidad"),(AE165-(+AE165*Y167)),IF(V167="Impacto",AE166,""))),"")</f>
        <v>9.0719999999999995E-2</v>
      </c>
      <c r="AD167" s="461" t="str">
        <f t="shared" si="60"/>
        <v>Muy Baja</v>
      </c>
      <c r="AE167" s="462">
        <f t="shared" si="61"/>
        <v>9.0719999999999995E-2</v>
      </c>
      <c r="AF167" s="461" t="str">
        <f t="shared" si="62"/>
        <v>Leve</v>
      </c>
      <c r="AG167" s="462">
        <f>IFERROR(IF(AND(V166="Impacto",V167="Impacto"),(AG166-(+AG166*Y167)),IF(AND(V166="Probabilidad",V167="Impacto"),(AG165-(+AG165*Y167)),IF(V167="Probabilidad",AG166,""))),"")</f>
        <v>0.2</v>
      </c>
      <c r="AH167" s="463" t="str">
        <f t="shared" si="63"/>
        <v>Bajo</v>
      </c>
      <c r="AI167" s="464" t="s">
        <v>192</v>
      </c>
      <c r="AJ167" s="465"/>
      <c r="AK167" s="209"/>
      <c r="AL167" s="465"/>
      <c r="AM167" s="466"/>
      <c r="AN167" s="468"/>
    </row>
    <row r="168" spans="1:40" ht="342" x14ac:dyDescent="0.2">
      <c r="A168" s="469">
        <v>73</v>
      </c>
      <c r="B168" s="469" t="s">
        <v>733</v>
      </c>
      <c r="C168" s="470" t="s">
        <v>722</v>
      </c>
      <c r="D168" s="447" t="str">
        <f>IFERROR(INDEX('Base de datos gestión'!$D$28:$D$50,MATCH(C168,'Base de datos gestión'!$C$28:$C$50,0)), 0)</f>
        <v>Impulsar permanentemente las competencias metrológicas del país a través del establecimiento y operación de la USN (Unidad Sectorial de Normalización), al igual que el desarrollo de espacios de interacción y comunicación, liderados por el INM, donde de acuerdo con planes de trabajo establecidos se identifiquen necesidades y capacidades para proponer herramientas que permitan fortalecer la metrología científica e industrial y consolidar la confianza en los servicios metrológicos.</v>
      </c>
      <c r="E168" s="447" t="str">
        <f>IFERROR(INDEX('Base de datos gestión'!$E$28:$E$50,MATCH(C168,'Base de datos gestión'!$C$28:$C$50,0)), 0)</f>
        <v>Inicia con la detección de las necesidades en metrología hasta la prestación de los servicios metrológicos a los laboratorios de metrología de nivel nacional, creando sinergias que permitan la gestión del conocimiento y la actuación compartida entre diferentes instituciones.</v>
      </c>
      <c r="F168" s="474" t="s">
        <v>178</v>
      </c>
      <c r="G168" s="477" t="s">
        <v>734</v>
      </c>
      <c r="H168" s="496" t="s">
        <v>735</v>
      </c>
      <c r="I168" s="477" t="s">
        <v>736</v>
      </c>
      <c r="J168" s="476" t="s">
        <v>182</v>
      </c>
      <c r="K168" s="497" t="s">
        <v>258</v>
      </c>
      <c r="L168" s="497">
        <v>6</v>
      </c>
      <c r="M168" s="450" t="str">
        <f t="shared" si="66"/>
        <v>Baja</v>
      </c>
      <c r="N168" s="451">
        <f t="shared" si="65"/>
        <v>0.4</v>
      </c>
      <c r="O168" s="452" t="s">
        <v>339</v>
      </c>
      <c r="P168" s="451" t="str">
        <f>IF(NOT(ISERROR(MATCH(O168,'Tabla Impacto'!$B$222:$B$224,0))),'Tabla Impacto'!$F$224&amp;"Por favor no seleccionar los criterios de impacto(Afectación Económica o presupuestal y Pérdida Reputacional)",O168)</f>
        <v xml:space="preserve">     El riesgo afecta la imagen de la entidad a nivel nacional, con efecto publicitarios sostenible a nivel país</v>
      </c>
      <c r="Q168" s="453" t="str">
        <f>IF(OR(P168='[2]Tabla Impacto'!$C$12,P168='[2]Tabla Impacto'!$D$12),"Leve",IF(OR(P168='[2]Tabla Impacto'!$C$13,P168='[2]Tabla Impacto'!$D$13),"Menor",IF(OR(P168='[2]Tabla Impacto'!$C$14,P168='[2]Tabla Impacto'!$D$14),"Moderado",IF(OR(P168='[2]Tabla Impacto'!$C$15,P168='[2]Tabla Impacto'!$D$15),"Mayor",IF(OR(P168='[2]Tabla Impacto'!$C$16,P168='[2]Tabla Impacto'!$D$16),"Catastrófico","")))))</f>
        <v>Catastrófico</v>
      </c>
      <c r="R168" s="452">
        <f t="shared" si="57"/>
        <v>1</v>
      </c>
      <c r="S168" s="454" t="str">
        <f t="shared" si="58"/>
        <v>Extremo</v>
      </c>
      <c r="T168" s="457">
        <v>1</v>
      </c>
      <c r="U168" s="498" t="s">
        <v>737</v>
      </c>
      <c r="V168" s="457" t="str">
        <f t="shared" si="64"/>
        <v>Probabilidad</v>
      </c>
      <c r="W168" s="458" t="s">
        <v>187</v>
      </c>
      <c r="X168" s="458" t="s">
        <v>188</v>
      </c>
      <c r="Y168" s="459" t="str">
        <f t="shared" si="59"/>
        <v>40%</v>
      </c>
      <c r="Z168" s="458" t="s">
        <v>189</v>
      </c>
      <c r="AA168" s="458" t="s">
        <v>190</v>
      </c>
      <c r="AB168" s="458" t="s">
        <v>191</v>
      </c>
      <c r="AC168" s="460">
        <f>IFERROR(IF(AND(V167="Probabilidad",V168="Probabilidad"),(AE167-(+AE167*Y168)),IF(AND(V167="Impacto",V168="Probabilidad"),(AE166-(+AE166*Y168)),IF(V168="Impacto",AE167,""))),"")</f>
        <v>5.4431999999999994E-2</v>
      </c>
      <c r="AD168" s="461" t="str">
        <f t="shared" si="60"/>
        <v>Muy Baja</v>
      </c>
      <c r="AE168" s="462">
        <f t="shared" si="61"/>
        <v>5.4431999999999994E-2</v>
      </c>
      <c r="AF168" s="461" t="str">
        <f t="shared" si="62"/>
        <v>Leve</v>
      </c>
      <c r="AG168" s="462">
        <f>IFERROR(IF(AND(V167="Impacto",V168="Impacto"),(AG167-(+AG167*Y168)),IF(AND(V167="Probabilidad",V168="Impacto"),(AG166-(+AG166*Y168)),IF(V168="Probabilidad",AG167,""))),"")</f>
        <v>0.2</v>
      </c>
      <c r="AH168" s="463" t="str">
        <f t="shared" si="63"/>
        <v>Bajo</v>
      </c>
      <c r="AI168" s="464" t="s">
        <v>192</v>
      </c>
      <c r="AJ168" s="465"/>
      <c r="AK168" s="209"/>
      <c r="AL168" s="465"/>
      <c r="AM168" s="466"/>
      <c r="AN168" s="468"/>
    </row>
    <row r="169" spans="1:40" ht="342" x14ac:dyDescent="0.2">
      <c r="A169" s="478">
        <v>74</v>
      </c>
      <c r="B169" s="478" t="s">
        <v>738</v>
      </c>
      <c r="C169" s="479" t="s">
        <v>722</v>
      </c>
      <c r="D169" s="447" t="str">
        <f>IFERROR(INDEX('Base de datos gestión'!$D$28:$D$50,MATCH(C169,'Base de datos gestión'!$C$28:$C$50,0)), 0)</f>
        <v>Impulsar permanentemente las competencias metrológicas del país a través del establecimiento y operación de la USN (Unidad Sectorial de Normalización), al igual que el desarrollo de espacios de interacción y comunicación, liderados por el INM, donde de acuerdo con planes de trabajo establecidos se identifiquen necesidades y capacidades para proponer herramientas que permitan fortalecer la metrología científica e industrial y consolidar la confianza en los servicios metrológicos.</v>
      </c>
      <c r="E169" s="447" t="str">
        <f>IFERROR(INDEX('Base de datos gestión'!$E$28:$E$50,MATCH(C169,'Base de datos gestión'!$C$28:$C$50,0)), 0)</f>
        <v>Inicia con la detección de las necesidades en metrología hasta la prestación de los servicios metrológicos a los laboratorios de metrología de nivel nacional, creando sinergias que permitan la gestión del conocimiento y la actuación compartida entre diferentes instituciones.</v>
      </c>
      <c r="F169" s="474" t="s">
        <v>178</v>
      </c>
      <c r="G169" s="475" t="s">
        <v>739</v>
      </c>
      <c r="H169" s="465" t="s">
        <v>740</v>
      </c>
      <c r="I169" s="476" t="s">
        <v>741</v>
      </c>
      <c r="J169" s="476" t="s">
        <v>182</v>
      </c>
      <c r="K169" s="499" t="s">
        <v>183</v>
      </c>
      <c r="L169" s="500">
        <v>10</v>
      </c>
      <c r="M169" s="450" t="str">
        <f t="shared" si="66"/>
        <v>Baja</v>
      </c>
      <c r="N169" s="451">
        <f t="shared" si="65"/>
        <v>0.4</v>
      </c>
      <c r="O169" s="452" t="s">
        <v>339</v>
      </c>
      <c r="P169" s="451" t="str">
        <f>IF(NOT(ISERROR(MATCH(O169,'Tabla Impacto'!$B$222:$B$224,0))),'Tabla Impacto'!$F$224&amp;"Por favor no seleccionar los criterios de impacto(Afectación Económica o presupuestal y Pérdida Reputacional)",O169)</f>
        <v xml:space="preserve">     El riesgo afecta la imagen de la entidad a nivel nacional, con efecto publicitarios sostenible a nivel país</v>
      </c>
      <c r="Q169" s="453" t="str">
        <f>IF(OR(P169='[2]Tabla Impacto'!$C$12,P169='[2]Tabla Impacto'!$D$12),"Leve",IF(OR(P169='[2]Tabla Impacto'!$C$13,P169='[2]Tabla Impacto'!$D$13),"Menor",IF(OR(P169='[2]Tabla Impacto'!$C$14,P169='[2]Tabla Impacto'!$D$14),"Moderado",IF(OR(P169='[2]Tabla Impacto'!$C$15,P169='[2]Tabla Impacto'!$D$15),"Mayor",IF(OR(P169='[2]Tabla Impacto'!$C$16,P169='[2]Tabla Impacto'!$D$16),"Catastrófico","")))))</f>
        <v>Catastrófico</v>
      </c>
      <c r="R169" s="452">
        <f t="shared" si="57"/>
        <v>1</v>
      </c>
      <c r="S169" s="454" t="str">
        <f t="shared" si="58"/>
        <v>Extremo</v>
      </c>
      <c r="T169" s="457">
        <v>1</v>
      </c>
      <c r="U169" s="487" t="s">
        <v>742</v>
      </c>
      <c r="V169" s="457" t="str">
        <f t="shared" si="64"/>
        <v>Probabilidad</v>
      </c>
      <c r="W169" s="458" t="s">
        <v>187</v>
      </c>
      <c r="X169" s="458" t="s">
        <v>188</v>
      </c>
      <c r="Y169" s="459" t="str">
        <f t="shared" si="59"/>
        <v>40%</v>
      </c>
      <c r="Z169" s="458" t="s">
        <v>189</v>
      </c>
      <c r="AA169" s="458" t="s">
        <v>190</v>
      </c>
      <c r="AB169" s="458" t="s">
        <v>216</v>
      </c>
      <c r="AC169" s="460">
        <f>IFERROR(IF(AND(V168="Probabilidad",V169="Probabilidad"),(AE168-(+AE168*Y169)),IF(AND(V168="Impacto",V169="Probabilidad"),(AE167-(+AE167*Y169)),IF(V169="Impacto",AE168,""))),"")</f>
        <v>3.2659199999999999E-2</v>
      </c>
      <c r="AD169" s="461" t="str">
        <f t="shared" si="60"/>
        <v>Muy Baja</v>
      </c>
      <c r="AE169" s="462">
        <f t="shared" si="61"/>
        <v>3.2659199999999999E-2</v>
      </c>
      <c r="AF169" s="461" t="str">
        <f t="shared" si="62"/>
        <v>Leve</v>
      </c>
      <c r="AG169" s="462">
        <f>IFERROR(IF(AND(V168="Impacto",V169="Impacto"),(AG168-(+AG168*Y169)),IF(AND(V168="Probabilidad",V169="Impacto"),(AG167-(+AG167*Y169)),IF(V169="Probabilidad",AG168,""))),"")</f>
        <v>0.2</v>
      </c>
      <c r="AH169" s="463" t="str">
        <f t="shared" si="63"/>
        <v>Bajo</v>
      </c>
      <c r="AI169" s="464" t="s">
        <v>192</v>
      </c>
      <c r="AJ169" s="465"/>
      <c r="AK169" s="209"/>
      <c r="AL169" s="465"/>
      <c r="AM169" s="466"/>
      <c r="AN169" s="468"/>
    </row>
    <row r="170" spans="1:40" ht="342" x14ac:dyDescent="0.2">
      <c r="A170" s="446">
        <v>74</v>
      </c>
      <c r="B170" s="446" t="s">
        <v>738</v>
      </c>
      <c r="C170" s="447" t="s">
        <v>722</v>
      </c>
      <c r="D170" s="447" t="str">
        <f>IFERROR(INDEX('Base de datos gestión'!$D$28:$D$50,MATCH(C170,'Base de datos gestión'!$C$28:$C$50,0)), 0)</f>
        <v>Impulsar permanentemente las competencias metrológicas del país a través del establecimiento y operación de la USN (Unidad Sectorial de Normalización), al igual que el desarrollo de espacios de interacción y comunicación, liderados por el INM, donde de acuerdo con planes de trabajo establecidos se identifiquen necesidades y capacidades para proponer herramientas que permitan fortalecer la metrología científica e industrial y consolidar la confianza en los servicios metrológicos.</v>
      </c>
      <c r="E170" s="447" t="str">
        <f>IFERROR(INDEX('Base de datos gestión'!$E$28:$E$50,MATCH(C170,'Base de datos gestión'!$C$28:$C$50,0)), 0)</f>
        <v>Inicia con la detección de las necesidades en metrología hasta la prestación de los servicios metrológicos a los laboratorios de metrología de nivel nacional, creando sinergias que permitan la gestión del conocimiento y la actuación compartida entre diferentes instituciones.</v>
      </c>
      <c r="F170" s="474" t="s">
        <v>178</v>
      </c>
      <c r="G170" s="475" t="s">
        <v>739</v>
      </c>
      <c r="H170" s="476" t="s">
        <v>743</v>
      </c>
      <c r="I170" s="476" t="s">
        <v>741</v>
      </c>
      <c r="J170" s="476" t="s">
        <v>182</v>
      </c>
      <c r="K170" s="499" t="s">
        <v>183</v>
      </c>
      <c r="L170" s="500">
        <v>10</v>
      </c>
      <c r="M170" s="450" t="str">
        <f t="shared" si="66"/>
        <v>Baja</v>
      </c>
      <c r="N170" s="451">
        <f t="shared" si="65"/>
        <v>0.4</v>
      </c>
      <c r="O170" s="452" t="s">
        <v>339</v>
      </c>
      <c r="P170" s="451" t="str">
        <f>IF(NOT(ISERROR(MATCH(O170,'Tabla Impacto'!$B$222:$B$224,0))),'Tabla Impacto'!$F$224&amp;"Por favor no seleccionar los criterios de impacto(Afectación Económica o presupuestal y Pérdida Reputacional)",O170)</f>
        <v xml:space="preserve">     El riesgo afecta la imagen de la entidad a nivel nacional, con efecto publicitarios sostenible a nivel país</v>
      </c>
      <c r="Q170" s="453" t="str">
        <f>IF(OR(P170='[2]Tabla Impacto'!$C$12,P170='[2]Tabla Impacto'!$D$12),"Leve",IF(OR(P170='[2]Tabla Impacto'!$C$13,P170='[2]Tabla Impacto'!$D$13),"Menor",IF(OR(P170='[2]Tabla Impacto'!$C$14,P170='[2]Tabla Impacto'!$D$14),"Moderado",IF(OR(P170='[2]Tabla Impacto'!$C$15,P170='[2]Tabla Impacto'!$D$15),"Mayor",IF(OR(P170='[2]Tabla Impacto'!$C$16,P170='[2]Tabla Impacto'!$D$16),"Catastrófico","")))))</f>
        <v>Catastrófico</v>
      </c>
      <c r="R170" s="452">
        <f t="shared" si="57"/>
        <v>1</v>
      </c>
      <c r="S170" s="454" t="str">
        <f t="shared" si="58"/>
        <v>Extremo</v>
      </c>
      <c r="T170" s="457">
        <v>2</v>
      </c>
      <c r="U170" s="498" t="s">
        <v>744</v>
      </c>
      <c r="V170" s="457" t="str">
        <f t="shared" si="64"/>
        <v>Probabilidad</v>
      </c>
      <c r="W170" s="458" t="s">
        <v>187</v>
      </c>
      <c r="X170" s="458" t="s">
        <v>188</v>
      </c>
      <c r="Y170" s="459" t="str">
        <f t="shared" si="59"/>
        <v>40%</v>
      </c>
      <c r="Z170" s="458" t="s">
        <v>189</v>
      </c>
      <c r="AA170" s="458" t="s">
        <v>190</v>
      </c>
      <c r="AB170" s="458" t="s">
        <v>216</v>
      </c>
      <c r="AC170" s="460">
        <f>IFERROR(IF(V170="Probabilidad",(N170-(+N170*Y170)),IF(V170="Impacto",N170,"")),"")</f>
        <v>0.24</v>
      </c>
      <c r="AD170" s="461" t="str">
        <f t="shared" si="60"/>
        <v>Baja</v>
      </c>
      <c r="AE170" s="462">
        <f t="shared" si="61"/>
        <v>0.24</v>
      </c>
      <c r="AF170" s="461" t="str">
        <f t="shared" si="62"/>
        <v>Catastrófico</v>
      </c>
      <c r="AG170" s="462">
        <f>IFERROR(IF(V170="Impacto",(R170-(+R170*Y170)),IF(V170="Probabilidad",R170,"")),"")</f>
        <v>1</v>
      </c>
      <c r="AH170" s="463" t="str">
        <f t="shared" si="63"/>
        <v>Extremo</v>
      </c>
      <c r="AI170" s="464" t="s">
        <v>192</v>
      </c>
      <c r="AJ170" s="465"/>
      <c r="AK170" s="209"/>
      <c r="AL170" s="465"/>
      <c r="AM170" s="466"/>
      <c r="AN170" s="468"/>
    </row>
    <row r="171" spans="1:40" ht="342" x14ac:dyDescent="0.2">
      <c r="A171" s="469">
        <v>74</v>
      </c>
      <c r="B171" s="469" t="s">
        <v>738</v>
      </c>
      <c r="C171" s="470" t="s">
        <v>722</v>
      </c>
      <c r="D171" s="447" t="str">
        <f>IFERROR(INDEX('Base de datos gestión'!$D$28:$D$50,MATCH(C171,'Base de datos gestión'!$C$28:$C$50,0)), 0)</f>
        <v>Impulsar permanentemente las competencias metrológicas del país a través del establecimiento y operación de la USN (Unidad Sectorial de Normalización), al igual que el desarrollo de espacios de interacción y comunicación, liderados por el INM, donde de acuerdo con planes de trabajo establecidos se identifiquen necesidades y capacidades para proponer herramientas que permitan fortalecer la metrología científica e industrial y consolidar la confianza en los servicios metrológicos.</v>
      </c>
      <c r="E171" s="447" t="str">
        <f>IFERROR(INDEX('Base de datos gestión'!$E$28:$E$50,MATCH(C171,'Base de datos gestión'!$C$28:$C$50,0)), 0)</f>
        <v>Inicia con la detección de las necesidades en metrología hasta la prestación de los servicios metrológicos a los laboratorios de metrología de nivel nacional, creando sinergias que permitan la gestión del conocimiento y la actuación compartida entre diferentes instituciones.</v>
      </c>
      <c r="F171" s="474" t="s">
        <v>178</v>
      </c>
      <c r="G171" s="475" t="s">
        <v>739</v>
      </c>
      <c r="H171" s="482" t="s">
        <v>745</v>
      </c>
      <c r="I171" s="476" t="s">
        <v>741</v>
      </c>
      <c r="J171" s="476" t="s">
        <v>182</v>
      </c>
      <c r="K171" s="499" t="s">
        <v>183</v>
      </c>
      <c r="L171" s="500">
        <v>10</v>
      </c>
      <c r="M171" s="450" t="str">
        <f t="shared" si="66"/>
        <v>Baja</v>
      </c>
      <c r="N171" s="451">
        <f t="shared" si="65"/>
        <v>0.4</v>
      </c>
      <c r="O171" s="452" t="s">
        <v>339</v>
      </c>
      <c r="P171" s="451" t="str">
        <f>IF(NOT(ISERROR(MATCH(O171,'Tabla Impacto'!$B$222:$B$224,0))),'Tabla Impacto'!$F$224&amp;"Por favor no seleccionar los criterios de impacto(Afectación Económica o presupuestal y Pérdida Reputacional)",O171)</f>
        <v xml:space="preserve">     El riesgo afecta la imagen de la entidad a nivel nacional, con efecto publicitarios sostenible a nivel país</v>
      </c>
      <c r="Q171" s="453" t="str">
        <f>IF(OR(P171='[2]Tabla Impacto'!$C$12,P171='[2]Tabla Impacto'!$D$12),"Leve",IF(OR(P171='[2]Tabla Impacto'!$C$13,P171='[2]Tabla Impacto'!$D$13),"Menor",IF(OR(P171='[2]Tabla Impacto'!$C$14,P171='[2]Tabla Impacto'!$D$14),"Moderado",IF(OR(P171='[2]Tabla Impacto'!$C$15,P171='[2]Tabla Impacto'!$D$15),"Mayor",IF(OR(P171='[2]Tabla Impacto'!$C$16,P171='[2]Tabla Impacto'!$D$16),"Catastrófico","")))))</f>
        <v>Catastrófico</v>
      </c>
      <c r="R171" s="452">
        <f t="shared" si="57"/>
        <v>1</v>
      </c>
      <c r="S171" s="454" t="str">
        <f t="shared" si="58"/>
        <v>Extremo</v>
      </c>
      <c r="T171" s="457">
        <v>3</v>
      </c>
      <c r="U171" s="477" t="s">
        <v>746</v>
      </c>
      <c r="V171" s="457" t="str">
        <f t="shared" si="64"/>
        <v>Probabilidad</v>
      </c>
      <c r="W171" s="458" t="s">
        <v>187</v>
      </c>
      <c r="X171" s="458" t="s">
        <v>188</v>
      </c>
      <c r="Y171" s="459" t="str">
        <f t="shared" si="59"/>
        <v>40%</v>
      </c>
      <c r="Z171" s="458" t="s">
        <v>222</v>
      </c>
      <c r="AA171" s="458" t="s">
        <v>190</v>
      </c>
      <c r="AB171" s="458" t="s">
        <v>191</v>
      </c>
      <c r="AC171" s="460">
        <f>IFERROR(IF(AND(V170="Probabilidad",V171="Probabilidad"),(AE170-(+AE170*Y171)),IF(V171="Probabilidad",(N170-(+N170*Y171)),IF(V171="Impacto",AE170,""))),"")</f>
        <v>0.14399999999999999</v>
      </c>
      <c r="AD171" s="461" t="str">
        <f t="shared" si="60"/>
        <v>Muy Baja</v>
      </c>
      <c r="AE171" s="462">
        <f t="shared" si="61"/>
        <v>0.14399999999999999</v>
      </c>
      <c r="AF171" s="461" t="str">
        <f t="shared" si="62"/>
        <v>Catastrófico</v>
      </c>
      <c r="AG171" s="462">
        <f>IFERROR(IF(AND(V170="Impacto",V171="Impacto"),(AG164-(+AG164*Y171)),IF(V171="Impacto",($R$50-(+$R$50*Y171)),IF(V171="Probabilidad",AG164,""))),"")</f>
        <v>1</v>
      </c>
      <c r="AH171" s="463" t="str">
        <f t="shared" si="63"/>
        <v>Extremo</v>
      </c>
      <c r="AI171" s="464" t="s">
        <v>192</v>
      </c>
      <c r="AJ171" s="465"/>
      <c r="AK171" s="209"/>
      <c r="AL171" s="465"/>
      <c r="AM171" s="466"/>
      <c r="AN171" s="468"/>
    </row>
    <row r="172" spans="1:40" ht="342" x14ac:dyDescent="0.2">
      <c r="A172" s="469">
        <v>74</v>
      </c>
      <c r="B172" s="469" t="s">
        <v>738</v>
      </c>
      <c r="C172" s="470" t="s">
        <v>722</v>
      </c>
      <c r="D172" s="447" t="str">
        <f>IFERROR(INDEX('Base de datos gestión'!$D$28:$D$50,MATCH(C172,'Base de datos gestión'!$C$28:$C$50,0)), 0)</f>
        <v>Impulsar permanentemente las competencias metrológicas del país a través del establecimiento y operación de la USN (Unidad Sectorial de Normalización), al igual que el desarrollo de espacios de interacción y comunicación, liderados por el INM, donde de acuerdo con planes de trabajo establecidos se identifiquen necesidades y capacidades para proponer herramientas que permitan fortalecer la metrología científica e industrial y consolidar la confianza en los servicios metrológicos.</v>
      </c>
      <c r="E172" s="447" t="str">
        <f>IFERROR(INDEX('Base de datos gestión'!$E$28:$E$50,MATCH(C172,'Base de datos gestión'!$C$28:$C$50,0)), 0)</f>
        <v>Inicia con la detección de las necesidades en metrología hasta la prestación de los servicios metrológicos a los laboratorios de metrología de nivel nacional, creando sinergias que permitan la gestión del conocimiento y la actuación compartida entre diferentes instituciones.</v>
      </c>
      <c r="F172" s="474" t="s">
        <v>178</v>
      </c>
      <c r="G172" s="475" t="s">
        <v>739</v>
      </c>
      <c r="H172" s="482" t="s">
        <v>747</v>
      </c>
      <c r="I172" s="476" t="s">
        <v>741</v>
      </c>
      <c r="J172" s="476" t="s">
        <v>182</v>
      </c>
      <c r="K172" s="499" t="s">
        <v>183</v>
      </c>
      <c r="L172" s="500">
        <v>10</v>
      </c>
      <c r="M172" s="450" t="str">
        <f t="shared" si="66"/>
        <v>Baja</v>
      </c>
      <c r="N172" s="451">
        <f t="shared" si="65"/>
        <v>0.4</v>
      </c>
      <c r="O172" s="452" t="s">
        <v>339</v>
      </c>
      <c r="P172" s="451" t="str">
        <f>IF(NOT(ISERROR(MATCH(O172,'Tabla Impacto'!$B$222:$B$224,0))),'Tabla Impacto'!$F$224&amp;"Por favor no seleccionar los criterios de impacto(Afectación Económica o presupuestal y Pérdida Reputacional)",O172)</f>
        <v xml:space="preserve">     El riesgo afecta la imagen de la entidad a nivel nacional, con efecto publicitarios sostenible a nivel país</v>
      </c>
      <c r="Q172" s="453" t="str">
        <f>IF(OR(P172='[2]Tabla Impacto'!$C$12,P172='[2]Tabla Impacto'!$D$12),"Leve",IF(OR(P172='[2]Tabla Impacto'!$C$13,P172='[2]Tabla Impacto'!$D$13),"Menor",IF(OR(P172='[2]Tabla Impacto'!$C$14,P172='[2]Tabla Impacto'!$D$14),"Moderado",IF(OR(P172='[2]Tabla Impacto'!$C$15,P172='[2]Tabla Impacto'!$D$15),"Mayor",IF(OR(P172='[2]Tabla Impacto'!$C$16,P172='[2]Tabla Impacto'!$D$16),"Catastrófico","")))))</f>
        <v>Catastrófico</v>
      </c>
      <c r="R172" s="452">
        <f t="shared" si="57"/>
        <v>1</v>
      </c>
      <c r="S172" s="454" t="str">
        <f t="shared" si="58"/>
        <v>Extremo</v>
      </c>
      <c r="T172" s="457">
        <v>4</v>
      </c>
      <c r="U172" s="487" t="s">
        <v>748</v>
      </c>
      <c r="V172" s="457" t="str">
        <f t="shared" si="64"/>
        <v>Probabilidad</v>
      </c>
      <c r="W172" s="458" t="s">
        <v>187</v>
      </c>
      <c r="X172" s="458" t="s">
        <v>188</v>
      </c>
      <c r="Y172" s="459" t="str">
        <f t="shared" si="59"/>
        <v>40%</v>
      </c>
      <c r="Z172" s="458" t="s">
        <v>189</v>
      </c>
      <c r="AA172" s="458" t="s">
        <v>202</v>
      </c>
      <c r="AB172" s="458" t="s">
        <v>216</v>
      </c>
      <c r="AC172" s="460">
        <f>IFERROR(IF(AND(V171="Probabilidad",V172="Probabilidad"),(AE171-(+AE171*Y172)),IF(AND(V171="Impacto",V172="Probabilidad"),(AE170-(+AE170*Y172)),IF(V172="Impacto",AE171,""))),"")</f>
        <v>8.6399999999999991E-2</v>
      </c>
      <c r="AD172" s="461" t="str">
        <f t="shared" si="60"/>
        <v>Muy Baja</v>
      </c>
      <c r="AE172" s="462">
        <f t="shared" si="61"/>
        <v>8.6399999999999991E-2</v>
      </c>
      <c r="AF172" s="461" t="str">
        <f t="shared" si="62"/>
        <v>Catastrófico</v>
      </c>
      <c r="AG172" s="462">
        <f>IFERROR(IF(AND(V171="Impacto",V172="Impacto"),(AG171-(+AG171*Y172)),IF(AND(V171="Probabilidad",V172="Impacto"),(AG170-(+AG170*Y172)),IF(V172="Probabilidad",AG171,""))),"")</f>
        <v>1</v>
      </c>
      <c r="AH172" s="463" t="str">
        <f t="shared" si="63"/>
        <v>Extremo</v>
      </c>
      <c r="AI172" s="464" t="s">
        <v>192</v>
      </c>
      <c r="AJ172" s="465"/>
      <c r="AK172" s="209"/>
      <c r="AL172" s="465"/>
      <c r="AM172" s="466"/>
      <c r="AN172" s="468"/>
    </row>
    <row r="173" spans="1:40" ht="342" x14ac:dyDescent="0.2">
      <c r="A173" s="469">
        <v>75</v>
      </c>
      <c r="B173" s="469" t="s">
        <v>749</v>
      </c>
      <c r="C173" s="470" t="s">
        <v>722</v>
      </c>
      <c r="D173" s="447" t="str">
        <f>IFERROR(INDEX('Base de datos gestión'!$D$28:$D$50,MATCH(C173,'Base de datos gestión'!$C$28:$C$50,0)), 0)</f>
        <v>Impulsar permanentemente las competencias metrológicas del país a través del establecimiento y operación de la USN (Unidad Sectorial de Normalización), al igual que el desarrollo de espacios de interacción y comunicación, liderados por el INM, donde de acuerdo con planes de trabajo establecidos se identifiquen necesidades y capacidades para proponer herramientas que permitan fortalecer la metrología científica e industrial y consolidar la confianza en los servicios metrológicos.</v>
      </c>
      <c r="E173" s="447" t="str">
        <f>IFERROR(INDEX('Base de datos gestión'!$E$28:$E$50,MATCH(C173,'Base de datos gestión'!$C$28:$C$50,0)), 0)</f>
        <v>Inicia con la detección de las necesidades en metrología hasta la prestación de los servicios metrológicos a los laboratorios de metrología de nivel nacional, creando sinergias que permitan la gestión del conocimiento y la actuación compartida entre diferentes instituciones.</v>
      </c>
      <c r="F173" s="474" t="s">
        <v>178</v>
      </c>
      <c r="G173" s="477" t="s">
        <v>750</v>
      </c>
      <c r="H173" s="496" t="s">
        <v>751</v>
      </c>
      <c r="I173" s="477" t="s">
        <v>752</v>
      </c>
      <c r="J173" s="476" t="s">
        <v>182</v>
      </c>
      <c r="K173" s="497" t="s">
        <v>258</v>
      </c>
      <c r="L173" s="497">
        <v>5</v>
      </c>
      <c r="M173" s="450" t="str">
        <f t="shared" si="66"/>
        <v>Baja</v>
      </c>
      <c r="N173" s="451">
        <f t="shared" si="65"/>
        <v>0.4</v>
      </c>
      <c r="O173" s="452" t="s">
        <v>339</v>
      </c>
      <c r="P173" s="451" t="str">
        <f>IF(NOT(ISERROR(MATCH(O173,'Tabla Impacto'!$B$222:$B$224,0))),'Tabla Impacto'!$F$224&amp;"Por favor no seleccionar los criterios de impacto(Afectación Económica o presupuestal y Pérdida Reputacional)",O173)</f>
        <v xml:space="preserve">     El riesgo afecta la imagen de la entidad a nivel nacional, con efecto publicitarios sostenible a nivel país</v>
      </c>
      <c r="Q173" s="453" t="str">
        <f>IF(OR(P173='[2]Tabla Impacto'!$C$12,P173='[2]Tabla Impacto'!$D$12),"Leve",IF(OR(P173='[2]Tabla Impacto'!$C$13,P173='[2]Tabla Impacto'!$D$13),"Menor",IF(OR(P173='[2]Tabla Impacto'!$C$14,P173='[2]Tabla Impacto'!$D$14),"Moderado",IF(OR(P173='[2]Tabla Impacto'!$C$15,P173='[2]Tabla Impacto'!$D$15),"Mayor",IF(OR(P173='[2]Tabla Impacto'!$C$16,P173='[2]Tabla Impacto'!$D$16),"Catastrófico","")))))</f>
        <v>Catastrófico</v>
      </c>
      <c r="R173" s="452">
        <f t="shared" si="57"/>
        <v>1</v>
      </c>
      <c r="S173" s="454" t="str">
        <f t="shared" si="58"/>
        <v>Extremo</v>
      </c>
      <c r="T173" s="457">
        <v>1</v>
      </c>
      <c r="U173" s="477" t="s">
        <v>753</v>
      </c>
      <c r="V173" s="457" t="str">
        <f t="shared" si="64"/>
        <v>Probabilidad</v>
      </c>
      <c r="W173" s="458" t="s">
        <v>187</v>
      </c>
      <c r="X173" s="458" t="s">
        <v>188</v>
      </c>
      <c r="Y173" s="459" t="str">
        <f t="shared" si="59"/>
        <v>40%</v>
      </c>
      <c r="Z173" s="458" t="s">
        <v>189</v>
      </c>
      <c r="AA173" s="458" t="s">
        <v>202</v>
      </c>
      <c r="AB173" s="458" t="s">
        <v>216</v>
      </c>
      <c r="AC173" s="460">
        <f>IFERROR(IF(AND(V172="Probabilidad",V173="Probabilidad"),(AE172-(+AE172*Y173)),IF(AND(V172="Impacto",V173="Probabilidad"),(AE171-(+AE171*Y173)),IF(V173="Impacto",AE172,""))),"")</f>
        <v>5.183999999999999E-2</v>
      </c>
      <c r="AD173" s="461" t="str">
        <f t="shared" si="60"/>
        <v>Muy Baja</v>
      </c>
      <c r="AE173" s="462">
        <f t="shared" si="61"/>
        <v>5.183999999999999E-2</v>
      </c>
      <c r="AF173" s="461" t="str">
        <f t="shared" si="62"/>
        <v>Catastrófico</v>
      </c>
      <c r="AG173" s="462">
        <f>IFERROR(IF(AND(V172="Impacto",V173="Impacto"),(AG172-(+AG172*Y173)),IF(AND(V172="Probabilidad",V173="Impacto"),(AG171-(+AG171*Y173)),IF(V173="Probabilidad",AG172,""))),"")</f>
        <v>1</v>
      </c>
      <c r="AH173" s="463" t="str">
        <f t="shared" si="63"/>
        <v>Extremo</v>
      </c>
      <c r="AI173" s="464" t="s">
        <v>192</v>
      </c>
      <c r="AJ173" s="465"/>
      <c r="AK173" s="209"/>
      <c r="AL173" s="465"/>
      <c r="AM173" s="466"/>
      <c r="AN173" s="468"/>
    </row>
    <row r="174" spans="1:40" ht="342" x14ac:dyDescent="0.2">
      <c r="A174" s="469">
        <v>75</v>
      </c>
      <c r="B174" s="469" t="s">
        <v>749</v>
      </c>
      <c r="C174" s="470" t="s">
        <v>722</v>
      </c>
      <c r="D174" s="447" t="str">
        <f>IFERROR(INDEX('Base de datos gestión'!$D$28:$D$50,MATCH(C174,'Base de datos gestión'!$C$28:$C$50,0)), 0)</f>
        <v>Impulsar permanentemente las competencias metrológicas del país a través del establecimiento y operación de la USN (Unidad Sectorial de Normalización), al igual que el desarrollo de espacios de interacción y comunicación, liderados por el INM, donde de acuerdo con planes de trabajo establecidos se identifiquen necesidades y capacidades para proponer herramientas que permitan fortalecer la metrología científica e industrial y consolidar la confianza en los servicios metrológicos.</v>
      </c>
      <c r="E174" s="447" t="str">
        <f>IFERROR(INDEX('Base de datos gestión'!$E$28:$E$50,MATCH(C174,'Base de datos gestión'!$C$28:$C$50,0)), 0)</f>
        <v>Inicia con la detección de las necesidades en metrología hasta la prestación de los servicios metrológicos a los laboratorios de metrología de nivel nacional, creando sinergias que permitan la gestión del conocimiento y la actuación compartida entre diferentes instituciones.</v>
      </c>
      <c r="F174" s="474" t="s">
        <v>178</v>
      </c>
      <c r="G174" s="477" t="s">
        <v>750</v>
      </c>
      <c r="H174" s="496" t="s">
        <v>751</v>
      </c>
      <c r="I174" s="477" t="s">
        <v>752</v>
      </c>
      <c r="J174" s="476" t="s">
        <v>182</v>
      </c>
      <c r="K174" s="497" t="s">
        <v>258</v>
      </c>
      <c r="L174" s="497">
        <v>5</v>
      </c>
      <c r="M174" s="450" t="str">
        <f t="shared" si="66"/>
        <v>Baja</v>
      </c>
      <c r="N174" s="451">
        <f t="shared" si="65"/>
        <v>0.4</v>
      </c>
      <c r="O174" s="452" t="s">
        <v>339</v>
      </c>
      <c r="P174" s="451" t="str">
        <f>IF(NOT(ISERROR(MATCH(O174,'Tabla Impacto'!$B$222:$B$224,0))),'Tabla Impacto'!$F$224&amp;"Por favor no seleccionar los criterios de impacto(Afectación Económica o presupuestal y Pérdida Reputacional)",O174)</f>
        <v xml:space="preserve">     El riesgo afecta la imagen de la entidad a nivel nacional, con efecto publicitarios sostenible a nivel país</v>
      </c>
      <c r="Q174" s="453" t="str">
        <f>IF(OR(P174='[2]Tabla Impacto'!$C$12,P174='[2]Tabla Impacto'!$D$12),"Leve",IF(OR(P174='[2]Tabla Impacto'!$C$13,P174='[2]Tabla Impacto'!$D$13),"Menor",IF(OR(P174='[2]Tabla Impacto'!$C$14,P174='[2]Tabla Impacto'!$D$14),"Moderado",IF(OR(P174='[2]Tabla Impacto'!$C$15,P174='[2]Tabla Impacto'!$D$15),"Mayor",IF(OR(P174='[2]Tabla Impacto'!$C$16,P174='[2]Tabla Impacto'!$D$16),"Catastrófico","")))))</f>
        <v>Catastrófico</v>
      </c>
      <c r="R174" s="452">
        <f t="shared" si="57"/>
        <v>1</v>
      </c>
      <c r="S174" s="454" t="str">
        <f t="shared" si="58"/>
        <v>Extremo</v>
      </c>
      <c r="T174" s="457">
        <v>2</v>
      </c>
      <c r="U174" s="487" t="s">
        <v>754</v>
      </c>
      <c r="V174" s="457" t="str">
        <f t="shared" si="64"/>
        <v>Probabilidad</v>
      </c>
      <c r="W174" s="458" t="s">
        <v>187</v>
      </c>
      <c r="X174" s="458" t="s">
        <v>188</v>
      </c>
      <c r="Y174" s="459" t="str">
        <f t="shared" si="59"/>
        <v>40%</v>
      </c>
      <c r="Z174" s="458" t="s">
        <v>189</v>
      </c>
      <c r="AA174" s="458" t="s">
        <v>202</v>
      </c>
      <c r="AB174" s="458" t="s">
        <v>216</v>
      </c>
      <c r="AC174" s="460">
        <f>IFERROR(IF(AND(V173="Probabilidad",V174="Probabilidad"),(AE173-(+AE173*Y174)),IF(AND(V173="Impacto",V174="Probabilidad"),(AE172-(+AE172*Y174)),IF(V174="Impacto",AE173,""))),"")</f>
        <v>3.1103999999999993E-2</v>
      </c>
      <c r="AD174" s="461" t="str">
        <f t="shared" si="60"/>
        <v>Muy Baja</v>
      </c>
      <c r="AE174" s="462">
        <f t="shared" si="61"/>
        <v>3.1103999999999993E-2</v>
      </c>
      <c r="AF174" s="461" t="str">
        <f t="shared" si="62"/>
        <v>Catastrófico</v>
      </c>
      <c r="AG174" s="462">
        <f>IFERROR(IF(AND(V173="Impacto",V174="Impacto"),(AG173-(+AG173*Y174)),IF(AND(V173="Probabilidad",V174="Impacto"),(AG172-(+AG172*Y174)),IF(V174="Probabilidad",AG173,""))),"")</f>
        <v>1</v>
      </c>
      <c r="AH174" s="463" t="str">
        <f t="shared" si="63"/>
        <v>Extremo</v>
      </c>
      <c r="AI174" s="464" t="s">
        <v>192</v>
      </c>
      <c r="AJ174" s="465"/>
      <c r="AK174" s="209"/>
      <c r="AL174" s="465"/>
      <c r="AM174" s="466"/>
      <c r="AN174" s="468"/>
    </row>
    <row r="175" spans="1:40" ht="409.5" x14ac:dyDescent="0.2">
      <c r="A175" s="478">
        <v>76</v>
      </c>
      <c r="B175" s="478" t="s">
        <v>755</v>
      </c>
      <c r="C175" s="479" t="s">
        <v>756</v>
      </c>
      <c r="D175" s="447" t="str">
        <f>IFERROR(INDEX('Base de datos gestión'!$D$28:$D$50,MATCH(C175,'Base de datos gestión'!$C$28:$C$50,0)), 0)</f>
        <v>Administrar, registrar y controlar de manera eficiente, oportuna, transparente y permanente los recursos financieros del INM, mediante el registro íntegro de las operaciones en el SIIF NACIÓN II, conforme a la normatividad vigente y los procedimientos establecidos por el Grupo de Gestión Financiera, para análisis y depuración de la información, la cual permita garantizar la representación fiel de la situación financiera del INM con el fin de soportar una adecuada toma de decisiones.
El proceso se relaciona con el objetivo estratégico: Fortalecer la capacidad administrativa y de desempeño institucional para garantizar la eficiencia y calidad a los procesos de la entidad</v>
      </c>
      <c r="E175" s="447" t="str">
        <f>IFERROR(INDEX('Base de datos gestión'!$E$28:$E$50,MATCH(C175,'Base de datos gestión'!$C$28:$C$50,0)), 0)</f>
        <v>Inicia desde la desagregación del presupuesto de gastos e ingresos y termina con la gestión del pago y el registro de las operaciones.</v>
      </c>
      <c r="F175" s="474" t="s">
        <v>234</v>
      </c>
      <c r="G175" s="475" t="s">
        <v>757</v>
      </c>
      <c r="H175" s="474" t="s">
        <v>758</v>
      </c>
      <c r="I175" s="474" t="s">
        <v>759</v>
      </c>
      <c r="J175" s="476" t="s">
        <v>238</v>
      </c>
      <c r="K175" s="476" t="s">
        <v>760</v>
      </c>
      <c r="L175" s="476">
        <v>5001</v>
      </c>
      <c r="M175" s="450" t="str">
        <f t="shared" si="66"/>
        <v>Muy Alta</v>
      </c>
      <c r="N175" s="451">
        <f t="shared" si="65"/>
        <v>1</v>
      </c>
      <c r="O175" s="452" t="s">
        <v>214</v>
      </c>
      <c r="P175" s="451" t="str">
        <f>IF(NOT(ISERROR(MATCH(O175,'Tabla Impacto'!$B$222:$B$224,0))),'Tabla Impacto'!$F$224&amp;"Por favor no seleccionar los criterios de impacto(Afectación Económica o presupuestal y Pérdida Reputacional)",O175)</f>
        <v xml:space="preserve">     El riesgo afecta la imagen de la entidad con algunos usuarios de relevancia frente al logro de los objetivos</v>
      </c>
      <c r="Q175" s="453" t="str">
        <f>IF(OR(P175='[1]Tabla Impacto'!$C$12,P175='[1]Tabla Impacto'!$D$12),"Leve",IF(OR(P175='[1]Tabla Impacto'!$C$13,P175='[1]Tabla Impacto'!$D$13),"Menor",IF(OR(P175='[1]Tabla Impacto'!$C$14,P175='[1]Tabla Impacto'!$D$14),"Moderado",IF(OR(P175='[1]Tabla Impacto'!$C$15,P175='[1]Tabla Impacto'!$D$15),"Mayor",IF(OR(P175='[1]Tabla Impacto'!$C$16,P175='[1]Tabla Impacto'!$D$16),"Catastrófico","")))))</f>
        <v>Moderado</v>
      </c>
      <c r="R175" s="452">
        <f t="shared" si="57"/>
        <v>0.6</v>
      </c>
      <c r="S175" s="454" t="str">
        <f t="shared" si="58"/>
        <v>Alto</v>
      </c>
      <c r="T175" s="457">
        <v>2</v>
      </c>
      <c r="U175" s="477" t="s">
        <v>761</v>
      </c>
      <c r="V175" s="457" t="str">
        <f t="shared" si="64"/>
        <v>Probabilidad</v>
      </c>
      <c r="W175" s="458" t="s">
        <v>187</v>
      </c>
      <c r="X175" s="458" t="s">
        <v>188</v>
      </c>
      <c r="Y175" s="459" t="str">
        <f t="shared" si="59"/>
        <v>40%</v>
      </c>
      <c r="Z175" s="458" t="s">
        <v>222</v>
      </c>
      <c r="AA175" s="458" t="s">
        <v>190</v>
      </c>
      <c r="AB175" s="458" t="s">
        <v>191</v>
      </c>
      <c r="AC175" s="460">
        <f>IFERROR(IF(AND(V174="Probabilidad",V175="Probabilidad"),(AE174-(+AE174*Y175)),IF(AND(V174="Impacto",V175="Probabilidad"),(AE173-(+AE173*Y175)),IF(V175="Impacto",AE174,""))),"")</f>
        <v>1.8662399999999996E-2</v>
      </c>
      <c r="AD175" s="461" t="str">
        <f t="shared" si="60"/>
        <v>Muy Baja</v>
      </c>
      <c r="AE175" s="462">
        <f t="shared" si="61"/>
        <v>1.8662399999999996E-2</v>
      </c>
      <c r="AF175" s="461" t="str">
        <f t="shared" si="62"/>
        <v>Catastrófico</v>
      </c>
      <c r="AG175" s="462">
        <f>IFERROR(IF(AND(V174="Impacto",V175="Impacto"),(AG174-(+AG174*Y175)),IF(AND(V174="Probabilidad",V175="Impacto"),(AG173-(+AG173*Y175)),IF(V175="Probabilidad",AG174,""))),"")</f>
        <v>1</v>
      </c>
      <c r="AH175" s="463" t="str">
        <f t="shared" si="63"/>
        <v>Extremo</v>
      </c>
      <c r="AI175" s="464" t="s">
        <v>192</v>
      </c>
      <c r="AJ175" s="465"/>
      <c r="AK175" s="209"/>
      <c r="AL175" s="465"/>
      <c r="AM175" s="466"/>
      <c r="AN175" s="468"/>
    </row>
    <row r="176" spans="1:40" ht="409.5" x14ac:dyDescent="0.2">
      <c r="A176" s="478">
        <v>76</v>
      </c>
      <c r="B176" s="446" t="s">
        <v>755</v>
      </c>
      <c r="C176" s="447" t="s">
        <v>756</v>
      </c>
      <c r="D176" s="447" t="str">
        <f>IFERROR(INDEX('Base de datos gestión'!$D$28:$D$50,MATCH(C176,'Base de datos gestión'!$C$28:$C$50,0)), 0)</f>
        <v>Administrar, registrar y controlar de manera eficiente, oportuna, transparente y permanente los recursos financieros del INM, mediante el registro íntegro de las operaciones en el SIIF NACIÓN II, conforme a la normatividad vigente y los procedimientos establecidos por el Grupo de Gestión Financiera, para análisis y depuración de la información, la cual permita garantizar la representación fiel de la situación financiera del INM con el fin de soportar una adecuada toma de decisiones.
El proceso se relaciona con el objetivo estratégico: Fortalecer la capacidad administrativa y de desempeño institucional para garantizar la eficiencia y calidad a los procesos de la entidad</v>
      </c>
      <c r="E176" s="447" t="str">
        <f>IFERROR(INDEX('Base de datos gestión'!$E$28:$E$50,MATCH(C176,'Base de datos gestión'!$C$28:$C$50,0)), 0)</f>
        <v>Inicia desde la desagregación del presupuesto de gastos e ingresos y termina con la gestión del pago y el registro de las operaciones.</v>
      </c>
      <c r="F176" s="474" t="s">
        <v>234</v>
      </c>
      <c r="G176" s="475" t="s">
        <v>757</v>
      </c>
      <c r="H176" s="474" t="s">
        <v>758</v>
      </c>
      <c r="I176" s="474" t="s">
        <v>759</v>
      </c>
      <c r="J176" s="476" t="s">
        <v>238</v>
      </c>
      <c r="K176" s="476" t="s">
        <v>760</v>
      </c>
      <c r="L176" s="476">
        <v>5001</v>
      </c>
      <c r="M176" s="450" t="str">
        <f t="shared" si="66"/>
        <v>Muy Alta</v>
      </c>
      <c r="N176" s="451">
        <f t="shared" si="65"/>
        <v>1</v>
      </c>
      <c r="O176" s="452" t="s">
        <v>214</v>
      </c>
      <c r="P176" s="451" t="str">
        <f>IF(NOT(ISERROR(MATCH(O176,'Tabla Impacto'!$B$222:$B$224,0))),'Tabla Impacto'!$F$224&amp;"Por favor no seleccionar los criterios de impacto(Afectación Económica o presupuestal y Pérdida Reputacional)",O176)</f>
        <v xml:space="preserve">     El riesgo afecta la imagen de la entidad con algunos usuarios de relevancia frente al logro de los objetivos</v>
      </c>
      <c r="Q176" s="453" t="str">
        <f>IF(OR(P176='[1]Tabla Impacto'!$C$12,P176='[1]Tabla Impacto'!$D$12),"Leve",IF(OR(P176='[1]Tabla Impacto'!$C$13,P176='[1]Tabla Impacto'!$D$13),"Menor",IF(OR(P176='[1]Tabla Impacto'!$C$14,P176='[1]Tabla Impacto'!$D$14),"Moderado",IF(OR(P176='[1]Tabla Impacto'!$C$15,P176='[1]Tabla Impacto'!$D$15),"Mayor",IF(OR(P176='[1]Tabla Impacto'!$C$16,P176='[1]Tabla Impacto'!$D$16),"Catastrófico","")))))</f>
        <v>Moderado</v>
      </c>
      <c r="R176" s="452">
        <f t="shared" si="57"/>
        <v>0.6</v>
      </c>
      <c r="S176" s="454" t="str">
        <f t="shared" si="58"/>
        <v>Alto</v>
      </c>
      <c r="T176" s="457">
        <v>3</v>
      </c>
      <c r="U176" s="477" t="s">
        <v>762</v>
      </c>
      <c r="V176" s="457" t="str">
        <f t="shared" si="64"/>
        <v>Probabilidad</v>
      </c>
      <c r="W176" s="458" t="s">
        <v>228</v>
      </c>
      <c r="X176" s="458" t="s">
        <v>188</v>
      </c>
      <c r="Y176" s="459" t="str">
        <f t="shared" si="59"/>
        <v>30%</v>
      </c>
      <c r="Z176" s="458" t="s">
        <v>222</v>
      </c>
      <c r="AA176" s="458" t="s">
        <v>190</v>
      </c>
      <c r="AB176" s="458" t="s">
        <v>191</v>
      </c>
      <c r="AC176" s="460">
        <f>IFERROR(IF(V176="Probabilidad",(N176-(+N176*Y176)),IF(V176="Impacto",N176,"")),"")</f>
        <v>0.7</v>
      </c>
      <c r="AD176" s="461" t="str">
        <f t="shared" si="60"/>
        <v>Alta</v>
      </c>
      <c r="AE176" s="462">
        <f t="shared" si="61"/>
        <v>0.7</v>
      </c>
      <c r="AF176" s="461" t="str">
        <f t="shared" si="62"/>
        <v>Moderado</v>
      </c>
      <c r="AG176" s="462">
        <f>IFERROR(IF(V176="Impacto",(R176-(+R176*Y176)),IF(V176="Probabilidad",R176,"")),"")</f>
        <v>0.6</v>
      </c>
      <c r="AH176" s="463" t="str">
        <f t="shared" si="63"/>
        <v>Alto</v>
      </c>
      <c r="AI176" s="464" t="s">
        <v>192</v>
      </c>
      <c r="AJ176" s="465"/>
      <c r="AK176" s="209"/>
      <c r="AL176" s="465"/>
      <c r="AM176" s="466"/>
      <c r="AN176" s="468"/>
    </row>
    <row r="177" spans="1:40" ht="409.5" x14ac:dyDescent="0.2">
      <c r="A177" s="469">
        <v>76</v>
      </c>
      <c r="B177" s="469" t="s">
        <v>755</v>
      </c>
      <c r="C177" s="470" t="s">
        <v>756</v>
      </c>
      <c r="D177" s="447" t="str">
        <f>IFERROR(INDEX('Base de datos gestión'!$D$28:$D$50,MATCH(C177,'Base de datos gestión'!$C$28:$C$50,0)), 0)</f>
        <v>Administrar, registrar y controlar de manera eficiente, oportuna, transparente y permanente los recursos financieros del INM, mediante el registro íntegro de las operaciones en el SIIF NACIÓN II, conforme a la normatividad vigente y los procedimientos establecidos por el Grupo de Gestión Financiera, para análisis y depuración de la información, la cual permita garantizar la representación fiel de la situación financiera del INM con el fin de soportar una adecuada toma de decisiones.
El proceso se relaciona con el objetivo estratégico: Fortalecer la capacidad administrativa y de desempeño institucional para garantizar la eficiencia y calidad a los procesos de la entidad</v>
      </c>
      <c r="E177" s="447" t="str">
        <f>IFERROR(INDEX('Base de datos gestión'!$E$28:$E$50,MATCH(C177,'Base de datos gestión'!$C$28:$C$50,0)), 0)</f>
        <v>Inicia desde la desagregación del presupuesto de gastos e ingresos y termina con la gestión del pago y el registro de las operaciones.</v>
      </c>
      <c r="F177" s="474" t="s">
        <v>234</v>
      </c>
      <c r="G177" s="475" t="s">
        <v>757</v>
      </c>
      <c r="H177" s="474" t="s">
        <v>758</v>
      </c>
      <c r="I177" s="474" t="s">
        <v>759</v>
      </c>
      <c r="J177" s="476" t="s">
        <v>238</v>
      </c>
      <c r="K177" s="476" t="s">
        <v>760</v>
      </c>
      <c r="L177" s="476">
        <v>5001</v>
      </c>
      <c r="M177" s="450" t="str">
        <f t="shared" si="66"/>
        <v>Muy Alta</v>
      </c>
      <c r="N177" s="451">
        <f t="shared" si="65"/>
        <v>1</v>
      </c>
      <c r="O177" s="452" t="s">
        <v>214</v>
      </c>
      <c r="P177" s="451" t="str">
        <f>IF(NOT(ISERROR(MATCH(O177,'Tabla Impacto'!$B$222:$B$224,0))),'Tabla Impacto'!$F$224&amp;"Por favor no seleccionar los criterios de impacto(Afectación Económica o presupuestal y Pérdida Reputacional)",O177)</f>
        <v xml:space="preserve">     El riesgo afecta la imagen de la entidad con algunos usuarios de relevancia frente al logro de los objetivos</v>
      </c>
      <c r="Q177" s="453" t="str">
        <f>IF(OR(P177='[1]Tabla Impacto'!$C$12,P177='[1]Tabla Impacto'!$D$12),"Leve",IF(OR(P177='[1]Tabla Impacto'!$C$13,P177='[1]Tabla Impacto'!$D$13),"Menor",IF(OR(P177='[1]Tabla Impacto'!$C$14,P177='[1]Tabla Impacto'!$D$14),"Moderado",IF(OR(P177='[1]Tabla Impacto'!$C$15,P177='[1]Tabla Impacto'!$D$15),"Mayor",IF(OR(P177='[1]Tabla Impacto'!$C$16,P177='[1]Tabla Impacto'!$D$16),"Catastrófico","")))))</f>
        <v>Moderado</v>
      </c>
      <c r="R177" s="452">
        <f t="shared" si="57"/>
        <v>0.6</v>
      </c>
      <c r="S177" s="454" t="str">
        <f t="shared" si="58"/>
        <v>Alto</v>
      </c>
      <c r="T177" s="457">
        <v>4</v>
      </c>
      <c r="U177" s="477" t="s">
        <v>763</v>
      </c>
      <c r="V177" s="457" t="str">
        <f t="shared" si="64"/>
        <v>Probabilidad</v>
      </c>
      <c r="W177" s="458" t="s">
        <v>228</v>
      </c>
      <c r="X177" s="458" t="s">
        <v>188</v>
      </c>
      <c r="Y177" s="459" t="str">
        <f t="shared" si="59"/>
        <v>30%</v>
      </c>
      <c r="Z177" s="458" t="s">
        <v>222</v>
      </c>
      <c r="AA177" s="458" t="s">
        <v>190</v>
      </c>
      <c r="AB177" s="458" t="s">
        <v>191</v>
      </c>
      <c r="AC177" s="460">
        <f>IFERROR(IF(AND(V176="Probabilidad",V177="Probabilidad"),(AE176-(+AE176*Y177)),IF(V177="Probabilidad",(N176-(+N176*Y177)),IF(V177="Impacto",AE176,""))),"")</f>
        <v>0.49</v>
      </c>
      <c r="AD177" s="461" t="str">
        <f t="shared" si="60"/>
        <v>Media</v>
      </c>
      <c r="AE177" s="462">
        <f t="shared" si="61"/>
        <v>0.49</v>
      </c>
      <c r="AF177" s="461" t="str">
        <f t="shared" si="62"/>
        <v>Catastrófico</v>
      </c>
      <c r="AG177" s="462">
        <f>IFERROR(IF(AND(V176="Impacto",V177="Impacto"),(AG170-(+AG170*Y177)),IF(V177="Impacto",($R$56-(+$R$56*Y177)),IF(V177="Probabilidad",AG170,""))),"")</f>
        <v>1</v>
      </c>
      <c r="AH177" s="463" t="str">
        <f t="shared" si="63"/>
        <v>Extremo</v>
      </c>
      <c r="AI177" s="464" t="s">
        <v>192</v>
      </c>
      <c r="AJ177" s="465"/>
      <c r="AK177" s="209"/>
      <c r="AL177" s="465"/>
      <c r="AM177" s="466"/>
      <c r="AN177" s="468"/>
    </row>
    <row r="178" spans="1:40" ht="409.5" x14ac:dyDescent="0.2">
      <c r="A178" s="469">
        <v>77</v>
      </c>
      <c r="B178" s="469" t="s">
        <v>764</v>
      </c>
      <c r="C178" s="470" t="s">
        <v>756</v>
      </c>
      <c r="D178" s="447" t="str">
        <f>IFERROR(INDEX('Base de datos gestión'!$D$28:$D$50,MATCH(C178,'Base de datos gestión'!$C$28:$C$50,0)), 0)</f>
        <v>Administrar, registrar y controlar de manera eficiente, oportuna, transparente y permanente los recursos financieros del INM, mediante el registro íntegro de las operaciones en el SIIF NACIÓN II, conforme a la normatividad vigente y los procedimientos establecidos por el Grupo de Gestión Financiera, para análisis y depuración de la información, la cual permita garantizar la representación fiel de la situación financiera del INM con el fin de soportar una adecuada toma de decisiones.
El proceso se relaciona con el objetivo estratégico: Fortalecer la capacidad administrativa y de desempeño institucional para garantizar la eficiencia y calidad a los procesos de la entidad</v>
      </c>
      <c r="E178" s="447" t="str">
        <f>IFERROR(INDEX('Base de datos gestión'!$E$28:$E$50,MATCH(C178,'Base de datos gestión'!$C$28:$C$50,0)), 0)</f>
        <v>Inicia desde la desagregación del presupuesto de gastos e ingresos y termina con la gestión del pago y el registro de las operaciones.</v>
      </c>
      <c r="F178" s="474" t="s">
        <v>234</v>
      </c>
      <c r="G178" s="477" t="s">
        <v>765</v>
      </c>
      <c r="H178" s="477" t="s">
        <v>766</v>
      </c>
      <c r="I178" s="477" t="s">
        <v>767</v>
      </c>
      <c r="J178" s="476" t="s">
        <v>238</v>
      </c>
      <c r="K178" s="476" t="s">
        <v>768</v>
      </c>
      <c r="L178" s="476">
        <v>12</v>
      </c>
      <c r="M178" s="450" t="str">
        <f t="shared" si="66"/>
        <v>Baja</v>
      </c>
      <c r="N178" s="451">
        <f t="shared" si="65"/>
        <v>0.4</v>
      </c>
      <c r="O178" s="452" t="s">
        <v>769</v>
      </c>
      <c r="P178" s="451" t="str">
        <f>IF(NOT(ISERROR(MATCH(O178,'Tabla Impacto'!$B$222:$B$224,0))),'Tabla Impacto'!$F$224&amp;"Por favor no seleccionar los criterios de impacto(Afectación Económica o presupuestal y Pérdida Reputacional)",O178)</f>
        <v xml:space="preserve">     Entre 100 y 500 SMLMV </v>
      </c>
      <c r="Q178" s="453" t="str">
        <f>IF(OR(P178='[1]Tabla Impacto'!$C$12,P178='[1]Tabla Impacto'!$D$12),"Leve",IF(OR(P178='[1]Tabla Impacto'!$C$13,P178='[1]Tabla Impacto'!$D$13),"Menor",IF(OR(P178='[1]Tabla Impacto'!$C$14,P178='[1]Tabla Impacto'!$D$14),"Moderado",IF(OR(P178='[1]Tabla Impacto'!$C$15,P178='[1]Tabla Impacto'!$D$15),"Mayor",IF(OR(P178='[1]Tabla Impacto'!$C$16,P178='[1]Tabla Impacto'!$D$16),"Catastrófico","")))))</f>
        <v>Mayor</v>
      </c>
      <c r="R178" s="452">
        <f t="shared" si="57"/>
        <v>0.8</v>
      </c>
      <c r="S178" s="454" t="str">
        <f t="shared" si="58"/>
        <v>Alto</v>
      </c>
      <c r="T178" s="457">
        <v>1</v>
      </c>
      <c r="U178" s="477" t="s">
        <v>770</v>
      </c>
      <c r="V178" s="457" t="str">
        <f t="shared" si="64"/>
        <v>Probabilidad</v>
      </c>
      <c r="W178" s="458" t="s">
        <v>228</v>
      </c>
      <c r="X178" s="458" t="s">
        <v>188</v>
      </c>
      <c r="Y178" s="459" t="str">
        <f t="shared" si="59"/>
        <v>30%</v>
      </c>
      <c r="Z178" s="458" t="s">
        <v>222</v>
      </c>
      <c r="AA178" s="458" t="s">
        <v>190</v>
      </c>
      <c r="AB178" s="458" t="s">
        <v>191</v>
      </c>
      <c r="AC178" s="460">
        <f>IFERROR(IF(AND(V177="Probabilidad",V178="Probabilidad"),(AE177-(+AE177*Y178)),IF(AND(V177="Impacto",V178="Probabilidad"),(AE176-(+AE176*Y178)),IF(V178="Impacto",AE177,""))),"")</f>
        <v>0.34299999999999997</v>
      </c>
      <c r="AD178" s="461" t="str">
        <f t="shared" si="60"/>
        <v>Baja</v>
      </c>
      <c r="AE178" s="462">
        <f t="shared" si="61"/>
        <v>0.34299999999999997</v>
      </c>
      <c r="AF178" s="461" t="str">
        <f t="shared" si="62"/>
        <v>Catastrófico</v>
      </c>
      <c r="AG178" s="462">
        <f>IFERROR(IF(AND(V177="Impacto",V178="Impacto"),(AG177-(+AG177*Y178)),IF(AND(V177="Probabilidad",V178="Impacto"),(AG176-(+AG176*Y178)),IF(V178="Probabilidad",AG177,""))),"")</f>
        <v>1</v>
      </c>
      <c r="AH178" s="463" t="str">
        <f t="shared" si="63"/>
        <v>Extremo</v>
      </c>
      <c r="AI178" s="464" t="s">
        <v>192</v>
      </c>
      <c r="AJ178" s="465"/>
      <c r="AK178" s="209"/>
      <c r="AL178" s="465"/>
      <c r="AM178" s="466"/>
      <c r="AN178" s="468"/>
    </row>
    <row r="179" spans="1:40" ht="409.5" x14ac:dyDescent="0.2">
      <c r="A179" s="469">
        <v>78</v>
      </c>
      <c r="B179" s="469" t="s">
        <v>771</v>
      </c>
      <c r="C179" s="470" t="s">
        <v>756</v>
      </c>
      <c r="D179" s="447" t="str">
        <f>IFERROR(INDEX('Base de datos gestión'!$D$28:$D$50,MATCH(C179,'Base de datos gestión'!$C$28:$C$50,0)), 0)</f>
        <v>Administrar, registrar y controlar de manera eficiente, oportuna, transparente y permanente los recursos financieros del INM, mediante el registro íntegro de las operaciones en el SIIF NACIÓN II, conforme a la normatividad vigente y los procedimientos establecidos por el Grupo de Gestión Financiera, para análisis y depuración de la información, la cual permita garantizar la representación fiel de la situación financiera del INM con el fin de soportar una adecuada toma de decisiones.
El proceso se relaciona con el objetivo estratégico: Fortalecer la capacidad administrativa y de desempeño institucional para garantizar la eficiencia y calidad a los procesos de la entidad</v>
      </c>
      <c r="E179" s="447" t="str">
        <f>IFERROR(INDEX('Base de datos gestión'!$E$28:$E$50,MATCH(C179,'Base de datos gestión'!$C$28:$C$50,0)), 0)</f>
        <v>Inicia desde la desagregación del presupuesto de gastos e ingresos y termina con la gestión del pago y el registro de las operaciones.</v>
      </c>
      <c r="F179" s="474" t="s">
        <v>234</v>
      </c>
      <c r="G179" s="477" t="s">
        <v>772</v>
      </c>
      <c r="H179" s="477" t="s">
        <v>773</v>
      </c>
      <c r="I179" s="477" t="s">
        <v>774</v>
      </c>
      <c r="J179" s="476" t="s">
        <v>238</v>
      </c>
      <c r="K179" s="476" t="s">
        <v>258</v>
      </c>
      <c r="L179" s="476">
        <v>12</v>
      </c>
      <c r="M179" s="450" t="str">
        <f t="shared" si="66"/>
        <v>Baja</v>
      </c>
      <c r="N179" s="451">
        <f t="shared" si="65"/>
        <v>0.4</v>
      </c>
      <c r="O179" s="452" t="s">
        <v>214</v>
      </c>
      <c r="P179" s="451" t="str">
        <f>IF(NOT(ISERROR(MATCH(O179,'Tabla Impacto'!$B$222:$B$224,0))),'Tabla Impacto'!$F$224&amp;"Por favor no seleccionar los criterios de impacto(Afectación Económica o presupuestal y Pérdida Reputacional)",O179)</f>
        <v xml:space="preserve">     El riesgo afecta la imagen de la entidad con algunos usuarios de relevancia frente al logro de los objetivos</v>
      </c>
      <c r="Q179" s="453" t="str">
        <f>IF(OR(P179='[1]Tabla Impacto'!$C$12,P179='[1]Tabla Impacto'!$D$12),"Leve",IF(OR(P179='[1]Tabla Impacto'!$C$13,P179='[1]Tabla Impacto'!$D$13),"Menor",IF(OR(P179='[1]Tabla Impacto'!$C$14,P179='[1]Tabla Impacto'!$D$14),"Moderado",IF(OR(P179='[1]Tabla Impacto'!$C$15,P179='[1]Tabla Impacto'!$D$15),"Mayor",IF(OR(P179='[1]Tabla Impacto'!$C$16,P179='[1]Tabla Impacto'!$D$16),"Catastrófico","")))))</f>
        <v>Moderado</v>
      </c>
      <c r="R179" s="452">
        <f t="shared" si="57"/>
        <v>0.6</v>
      </c>
      <c r="S179" s="454" t="str">
        <f t="shared" si="58"/>
        <v>Moderado</v>
      </c>
      <c r="T179" s="457">
        <v>1</v>
      </c>
      <c r="U179" s="477" t="s">
        <v>775</v>
      </c>
      <c r="V179" s="457" t="str">
        <f t="shared" si="64"/>
        <v>Probabilidad</v>
      </c>
      <c r="W179" s="458" t="s">
        <v>228</v>
      </c>
      <c r="X179" s="458" t="s">
        <v>188</v>
      </c>
      <c r="Y179" s="459" t="str">
        <f t="shared" si="59"/>
        <v>30%</v>
      </c>
      <c r="Z179" s="458" t="s">
        <v>222</v>
      </c>
      <c r="AA179" s="458" t="s">
        <v>190</v>
      </c>
      <c r="AB179" s="458" t="s">
        <v>191</v>
      </c>
      <c r="AC179" s="460">
        <f>IFERROR(IF(AND(V178="Probabilidad",V179="Probabilidad"),(AE178-(+AE178*Y179)),IF(AND(V178="Impacto",V179="Probabilidad"),(AE177-(+AE177*Y179)),IF(V179="Impacto",AE178,""))),"")</f>
        <v>0.24009999999999998</v>
      </c>
      <c r="AD179" s="461" t="str">
        <f t="shared" si="60"/>
        <v>Baja</v>
      </c>
      <c r="AE179" s="462">
        <f t="shared" si="61"/>
        <v>0.24009999999999998</v>
      </c>
      <c r="AF179" s="461" t="str">
        <f t="shared" si="62"/>
        <v>Catastrófico</v>
      </c>
      <c r="AG179" s="462">
        <f>IFERROR(IF(AND(V178="Impacto",V179="Impacto"),(AG178-(+AG178*Y179)),IF(AND(V178="Probabilidad",V179="Impacto"),(AG177-(+AG177*Y179)),IF(V179="Probabilidad",AG178,""))),"")</f>
        <v>1</v>
      </c>
      <c r="AH179" s="463" t="str">
        <f t="shared" si="63"/>
        <v>Extremo</v>
      </c>
      <c r="AI179" s="464" t="s">
        <v>192</v>
      </c>
      <c r="AJ179" s="465"/>
      <c r="AK179" s="209"/>
      <c r="AL179" s="465"/>
      <c r="AM179" s="466"/>
      <c r="AN179" s="468"/>
    </row>
    <row r="180" spans="1:40" ht="409.5" x14ac:dyDescent="0.2">
      <c r="A180" s="469">
        <v>79</v>
      </c>
      <c r="B180" s="469" t="s">
        <v>776</v>
      </c>
      <c r="C180" s="470" t="s">
        <v>756</v>
      </c>
      <c r="D180" s="447" t="str">
        <f>IFERROR(INDEX('Base de datos gestión'!$D$28:$D$50,MATCH(C180,'Base de datos gestión'!$C$28:$C$50,0)), 0)</f>
        <v>Administrar, registrar y controlar de manera eficiente, oportuna, transparente y permanente los recursos financieros del INM, mediante el registro íntegro de las operaciones en el SIIF NACIÓN II, conforme a la normatividad vigente y los procedimientos establecidos por el Grupo de Gestión Financiera, para análisis y depuración de la información, la cual permita garantizar la representación fiel de la situación financiera del INM con el fin de soportar una adecuada toma de decisiones.
El proceso se relaciona con el objetivo estratégico: Fortalecer la capacidad administrativa y de desempeño institucional para garantizar la eficiencia y calidad a los procesos de la entidad</v>
      </c>
      <c r="E180" s="447" t="str">
        <f>IFERROR(INDEX('Base de datos gestión'!$E$28:$E$50,MATCH(C180,'Base de datos gestión'!$C$28:$C$50,0)), 0)</f>
        <v>Inicia desde la desagregación del presupuesto de gastos e ingresos y termina con la gestión del pago y el registro de las operaciones.</v>
      </c>
      <c r="F180" s="474" t="s">
        <v>234</v>
      </c>
      <c r="G180" s="475" t="s">
        <v>777</v>
      </c>
      <c r="H180" s="474" t="s">
        <v>778</v>
      </c>
      <c r="I180" s="474" t="s">
        <v>779</v>
      </c>
      <c r="J180" s="476" t="s">
        <v>238</v>
      </c>
      <c r="K180" s="476" t="s">
        <v>258</v>
      </c>
      <c r="L180" s="476">
        <v>12</v>
      </c>
      <c r="M180" s="450" t="str">
        <f t="shared" si="66"/>
        <v>Baja</v>
      </c>
      <c r="N180" s="451">
        <f t="shared" si="65"/>
        <v>0.4</v>
      </c>
      <c r="O180" s="452" t="s">
        <v>214</v>
      </c>
      <c r="P180" s="451" t="str">
        <f>IF(NOT(ISERROR(MATCH(O180,'Tabla Impacto'!$B$222:$B$224,0))),'Tabla Impacto'!$F$224&amp;"Por favor no seleccionar los criterios de impacto(Afectación Económica o presupuestal y Pérdida Reputacional)",O180)</f>
        <v xml:space="preserve">     El riesgo afecta la imagen de la entidad con algunos usuarios de relevancia frente al logro de los objetivos</v>
      </c>
      <c r="Q180" s="453" t="str">
        <f>IF(OR(P180='[1]Tabla Impacto'!$C$12,P180='[1]Tabla Impacto'!$D$12),"Leve",IF(OR(P180='[1]Tabla Impacto'!$C$13,P180='[1]Tabla Impacto'!$D$13),"Menor",IF(OR(P180='[1]Tabla Impacto'!$C$14,P180='[1]Tabla Impacto'!$D$14),"Moderado",IF(OR(P180='[1]Tabla Impacto'!$C$15,P180='[1]Tabla Impacto'!$D$15),"Mayor",IF(OR(P180='[1]Tabla Impacto'!$C$16,P180='[1]Tabla Impacto'!$D$16),"Catastrófico","")))))</f>
        <v>Moderado</v>
      </c>
      <c r="R180" s="452">
        <f t="shared" si="57"/>
        <v>0.6</v>
      </c>
      <c r="S180" s="454" t="str">
        <f t="shared" si="58"/>
        <v>Moderado</v>
      </c>
      <c r="T180" s="457">
        <v>1</v>
      </c>
      <c r="U180" s="477" t="s">
        <v>780</v>
      </c>
      <c r="V180" s="457" t="str">
        <f t="shared" si="64"/>
        <v>Probabilidad</v>
      </c>
      <c r="W180" s="458" t="s">
        <v>228</v>
      </c>
      <c r="X180" s="458" t="s">
        <v>188</v>
      </c>
      <c r="Y180" s="459" t="str">
        <f t="shared" si="59"/>
        <v>30%</v>
      </c>
      <c r="Z180" s="458" t="s">
        <v>222</v>
      </c>
      <c r="AA180" s="458" t="s">
        <v>190</v>
      </c>
      <c r="AB180" s="458" t="s">
        <v>191</v>
      </c>
      <c r="AC180" s="460">
        <f>IFERROR(IF(AND(V179="Probabilidad",V180="Probabilidad"),(AE179-(+AE179*Y180)),IF(AND(V179="Impacto",V180="Probabilidad"),(AE178-(+AE178*Y180)),IF(V180="Impacto",AE179,""))),"")</f>
        <v>0.16807</v>
      </c>
      <c r="AD180" s="461" t="str">
        <f t="shared" si="60"/>
        <v>Muy Baja</v>
      </c>
      <c r="AE180" s="462">
        <f t="shared" si="61"/>
        <v>0.16807</v>
      </c>
      <c r="AF180" s="461" t="str">
        <f t="shared" si="62"/>
        <v>Catastrófico</v>
      </c>
      <c r="AG180" s="462">
        <f>IFERROR(IF(AND(V179="Impacto",V180="Impacto"),(AG179-(+AG179*Y180)),IF(AND(V179="Probabilidad",V180="Impacto"),(AG178-(+AG178*Y180)),IF(V180="Probabilidad",AG179,""))),"")</f>
        <v>1</v>
      </c>
      <c r="AH180" s="463" t="str">
        <f t="shared" si="63"/>
        <v>Extremo</v>
      </c>
      <c r="AI180" s="464" t="s">
        <v>192</v>
      </c>
      <c r="AJ180" s="465"/>
      <c r="AK180" s="209"/>
      <c r="AL180" s="465"/>
      <c r="AM180" s="466"/>
      <c r="AN180" s="468"/>
    </row>
    <row r="181" spans="1:40" ht="409.5" x14ac:dyDescent="0.2">
      <c r="A181" s="478">
        <v>79</v>
      </c>
      <c r="B181" s="478" t="s">
        <v>776</v>
      </c>
      <c r="C181" s="479" t="s">
        <v>756</v>
      </c>
      <c r="D181" s="447" t="str">
        <f>IFERROR(INDEX('Base de datos gestión'!$D$28:$D$50,MATCH(C181,'Base de datos gestión'!$C$28:$C$50,0)), 0)</f>
        <v>Administrar, registrar y controlar de manera eficiente, oportuna, transparente y permanente los recursos financieros del INM, mediante el registro íntegro de las operaciones en el SIIF NACIÓN II, conforme a la normatividad vigente y los procedimientos establecidos por el Grupo de Gestión Financiera, para análisis y depuración de la información, la cual permita garantizar la representación fiel de la situación financiera del INM con el fin de soportar una adecuada toma de decisiones.
El proceso se relaciona con el objetivo estratégico: Fortalecer la capacidad administrativa y de desempeño institucional para garantizar la eficiencia y calidad a los procesos de la entidad</v>
      </c>
      <c r="E181" s="447" t="str">
        <f>IFERROR(INDEX('Base de datos gestión'!$E$28:$E$50,MATCH(C181,'Base de datos gestión'!$C$28:$C$50,0)), 0)</f>
        <v>Inicia desde la desagregación del presupuesto de gastos e ingresos y termina con la gestión del pago y el registro de las operaciones.</v>
      </c>
      <c r="F181" s="474" t="s">
        <v>234</v>
      </c>
      <c r="G181" s="475" t="s">
        <v>777</v>
      </c>
      <c r="H181" s="474" t="s">
        <v>778</v>
      </c>
      <c r="I181" s="474" t="s">
        <v>779</v>
      </c>
      <c r="J181" s="476" t="s">
        <v>238</v>
      </c>
      <c r="K181" s="476" t="s">
        <v>258</v>
      </c>
      <c r="L181" s="476">
        <v>12</v>
      </c>
      <c r="M181" s="450" t="str">
        <f t="shared" si="66"/>
        <v>Baja</v>
      </c>
      <c r="N181" s="451">
        <f t="shared" si="65"/>
        <v>0.4</v>
      </c>
      <c r="O181" s="452" t="s">
        <v>214</v>
      </c>
      <c r="P181" s="451" t="str">
        <f>IF(NOT(ISERROR(MATCH(O181,'Tabla Impacto'!$B$222:$B$224,0))),'Tabla Impacto'!$F$224&amp;"Por favor no seleccionar los criterios de impacto(Afectación Económica o presupuestal y Pérdida Reputacional)",O181)</f>
        <v xml:space="preserve">     El riesgo afecta la imagen de la entidad con algunos usuarios de relevancia frente al logro de los objetivos</v>
      </c>
      <c r="Q181" s="453" t="str">
        <f>IF(OR(P181='[1]Tabla Impacto'!$C$12,P181='[1]Tabla Impacto'!$D$12),"Leve",IF(OR(P181='[1]Tabla Impacto'!$C$13,P181='[1]Tabla Impacto'!$D$13),"Menor",IF(OR(P181='[1]Tabla Impacto'!$C$14,P181='[1]Tabla Impacto'!$D$14),"Moderado",IF(OR(P181='[1]Tabla Impacto'!$C$15,P181='[1]Tabla Impacto'!$D$15),"Mayor",IF(OR(P181='[1]Tabla Impacto'!$C$16,P181='[1]Tabla Impacto'!$D$16),"Catastrófico","")))))</f>
        <v>Moderado</v>
      </c>
      <c r="R181" s="452">
        <f t="shared" si="57"/>
        <v>0.6</v>
      </c>
      <c r="S181" s="454" t="str">
        <f t="shared" si="58"/>
        <v>Moderado</v>
      </c>
      <c r="T181" s="457">
        <v>2</v>
      </c>
      <c r="U181" s="477" t="s">
        <v>781</v>
      </c>
      <c r="V181" s="457" t="str">
        <f t="shared" si="64"/>
        <v>Probabilidad</v>
      </c>
      <c r="W181" s="458" t="s">
        <v>228</v>
      </c>
      <c r="X181" s="458" t="s">
        <v>188</v>
      </c>
      <c r="Y181" s="459" t="str">
        <f t="shared" si="59"/>
        <v>30%</v>
      </c>
      <c r="Z181" s="458" t="s">
        <v>222</v>
      </c>
      <c r="AA181" s="458" t="s">
        <v>190</v>
      </c>
      <c r="AB181" s="458" t="s">
        <v>191</v>
      </c>
      <c r="AC181" s="460">
        <f>IFERROR(IF(AND(V180="Probabilidad",V181="Probabilidad"),(AE180-(+AE180*Y181)),IF(AND(V180="Impacto",V181="Probabilidad"),(AE179-(+AE179*Y181)),IF(V181="Impacto",AE180,""))),"")</f>
        <v>0.117649</v>
      </c>
      <c r="AD181" s="461" t="str">
        <f t="shared" si="60"/>
        <v>Muy Baja</v>
      </c>
      <c r="AE181" s="462">
        <f t="shared" si="61"/>
        <v>0.117649</v>
      </c>
      <c r="AF181" s="461" t="str">
        <f t="shared" si="62"/>
        <v>Catastrófico</v>
      </c>
      <c r="AG181" s="462">
        <f>IFERROR(IF(AND(V180="Impacto",V181="Impacto"),(AG180-(+AG180*Y181)),IF(AND(V180="Probabilidad",V181="Impacto"),(AG179-(+AG179*Y181)),IF(V181="Probabilidad",AG180,""))),"")</f>
        <v>1</v>
      </c>
      <c r="AH181" s="463" t="str">
        <f t="shared" si="63"/>
        <v>Extremo</v>
      </c>
      <c r="AI181" s="464" t="s">
        <v>192</v>
      </c>
      <c r="AJ181" s="465"/>
      <c r="AK181" s="209"/>
      <c r="AL181" s="465"/>
      <c r="AM181" s="466"/>
      <c r="AN181" s="468"/>
    </row>
    <row r="182" spans="1:40" ht="409.5" x14ac:dyDescent="0.2">
      <c r="A182" s="446">
        <v>80</v>
      </c>
      <c r="B182" s="446" t="s">
        <v>782</v>
      </c>
      <c r="C182" s="447" t="s">
        <v>783</v>
      </c>
      <c r="D182" s="447" t="str">
        <f>IFERROR(INDEX('Base de datos gestión'!$D$28:$D$50,MATCH(C182,'Base de datos gestión'!$C$28:$C$50,0)), 0)</f>
        <v>Defender permanentemente los intereses patrimoniales e institucionales del INM, atendiendo las acciones que en contra del INM puedan iniciar funcionarios, exfuncionarios o terceras personas (personas jurídicas o naturales) que se sientan perjudicadas por acciones u omisiones del Instituto Nacional de Metrología, así como de las acciones que por ley se deban iniciar en contra de funcionarios, exfuncionarios o terceras personas que lesionen el interés patrimonial o institucional de la entidad.
El proceso se relaciona con el objetivo estratégico: Fortalecer la capacidad administrativa y de desempeño institucional para garantizar la eficiencia y calidad a los procesos de la entidad</v>
      </c>
      <c r="E182" s="447" t="str">
        <f>IFERROR(INDEX('Base de datos gestión'!$E$28:$E$50,MATCH(C182,'Base de datos gestión'!$C$28:$C$50,0)), 0)</f>
        <v>Inicia desde la ocurrencia del hecho generador de la actuación administrativa o acción extrajudicial (conciliación) o judicial (demanda) hasta la terminación del respectivo proceso judicial o administrativo y/o archivo.</v>
      </c>
      <c r="F182" s="474" t="s">
        <v>234</v>
      </c>
      <c r="G182" s="475" t="s">
        <v>784</v>
      </c>
      <c r="H182" s="474" t="s">
        <v>785</v>
      </c>
      <c r="I182" s="474" t="s">
        <v>786</v>
      </c>
      <c r="J182" s="481" t="s">
        <v>182</v>
      </c>
      <c r="K182" s="476" t="s">
        <v>380</v>
      </c>
      <c r="L182" s="476">
        <v>20</v>
      </c>
      <c r="M182" s="450" t="str">
        <f t="shared" si="66"/>
        <v>Baja</v>
      </c>
      <c r="N182" s="451">
        <f t="shared" si="65"/>
        <v>0.4</v>
      </c>
      <c r="O182" s="452" t="s">
        <v>769</v>
      </c>
      <c r="P182" s="451" t="str">
        <f>IF(NOT(ISERROR(MATCH(O182,'Tabla Impacto'!$B$222:$B$224,0))),'Tabla Impacto'!$F$224&amp;"Por favor no seleccionar los criterios de impacto(Afectación Económica o presupuestal y Pérdida Reputacional)",O182)</f>
        <v xml:space="preserve">     Entre 100 y 500 SMLMV </v>
      </c>
      <c r="Q182" s="453" t="str">
        <f>IF(OR(P182='[1]Tabla Impacto'!$C$12,P182='[1]Tabla Impacto'!$D$12),"Leve",IF(OR(P182='[1]Tabla Impacto'!$C$13,P182='[1]Tabla Impacto'!$D$13),"Menor",IF(OR(P182='[1]Tabla Impacto'!$C$14,P182='[1]Tabla Impacto'!$D$14),"Moderado",IF(OR(P182='[1]Tabla Impacto'!$C$15,P182='[1]Tabla Impacto'!$D$15),"Mayor",IF(OR(P182='[1]Tabla Impacto'!$C$16,P182='[1]Tabla Impacto'!$D$16),"Catastrófico","")))))</f>
        <v>Mayor</v>
      </c>
      <c r="R182" s="452">
        <f t="shared" si="57"/>
        <v>0.8</v>
      </c>
      <c r="S182" s="454" t="str">
        <f t="shared" si="58"/>
        <v>Alto</v>
      </c>
      <c r="T182" s="457">
        <v>1</v>
      </c>
      <c r="U182" s="477" t="s">
        <v>787</v>
      </c>
      <c r="V182" s="457" t="str">
        <f t="shared" si="64"/>
        <v>Probabilidad</v>
      </c>
      <c r="W182" s="458" t="s">
        <v>228</v>
      </c>
      <c r="X182" s="458" t="s">
        <v>188</v>
      </c>
      <c r="Y182" s="459" t="str">
        <f t="shared" si="59"/>
        <v>30%</v>
      </c>
      <c r="Z182" s="458" t="s">
        <v>222</v>
      </c>
      <c r="AA182" s="458" t="s">
        <v>202</v>
      </c>
      <c r="AB182" s="458" t="s">
        <v>191</v>
      </c>
      <c r="AC182" s="460">
        <f>IFERROR(IF(V182="Probabilidad",(N182-(+N182*Y182)),IF(V182="Impacto",N182,"")),"")</f>
        <v>0.28000000000000003</v>
      </c>
      <c r="AD182" s="461" t="str">
        <f t="shared" si="60"/>
        <v>Baja</v>
      </c>
      <c r="AE182" s="462">
        <f t="shared" si="61"/>
        <v>0.28000000000000003</v>
      </c>
      <c r="AF182" s="461" t="str">
        <f t="shared" si="62"/>
        <v>Mayor</v>
      </c>
      <c r="AG182" s="462">
        <f>IFERROR(IF(V182="Impacto",(R182-(+R182*Y182)),IF(V182="Probabilidad",R182,"")),"")</f>
        <v>0.8</v>
      </c>
      <c r="AH182" s="463" t="str">
        <f t="shared" si="63"/>
        <v>Alto</v>
      </c>
      <c r="AI182" s="464" t="s">
        <v>192</v>
      </c>
      <c r="AJ182" s="465"/>
      <c r="AK182" s="209"/>
      <c r="AL182" s="465"/>
      <c r="AM182" s="466"/>
      <c r="AN182" s="468"/>
    </row>
    <row r="183" spans="1:40" ht="409.5" x14ac:dyDescent="0.2">
      <c r="A183" s="469">
        <v>80</v>
      </c>
      <c r="B183" s="469" t="s">
        <v>782</v>
      </c>
      <c r="C183" s="470" t="s">
        <v>783</v>
      </c>
      <c r="D183" s="447" t="str">
        <f>IFERROR(INDEX('Base de datos gestión'!$D$28:$D$50,MATCH(C183,'Base de datos gestión'!$C$28:$C$50,0)), 0)</f>
        <v>Defender permanentemente los intereses patrimoniales e institucionales del INM, atendiendo las acciones que en contra del INM puedan iniciar funcionarios, exfuncionarios o terceras personas (personas jurídicas o naturales) que se sientan perjudicadas por acciones u omisiones del Instituto Nacional de Metrología, así como de las acciones que por ley se deban iniciar en contra de funcionarios, exfuncionarios o terceras personas que lesionen el interés patrimonial o institucional de la entidad.
El proceso se relaciona con el objetivo estratégico: Fortalecer la capacidad administrativa y de desempeño institucional para garantizar la eficiencia y calidad a los procesos de la entidad</v>
      </c>
      <c r="E183" s="447" t="str">
        <f>IFERROR(INDEX('Base de datos gestión'!$E$28:$E$50,MATCH(C183,'Base de datos gestión'!$C$28:$C$50,0)), 0)</f>
        <v>Inicia desde la ocurrencia del hecho generador de la actuación administrativa o acción extrajudicial (conciliación) o judicial (demanda) hasta la terminación del respectivo proceso judicial o administrativo y/o archivo.</v>
      </c>
      <c r="F183" s="474" t="s">
        <v>234</v>
      </c>
      <c r="G183" s="475" t="s">
        <v>784</v>
      </c>
      <c r="H183" s="474" t="s">
        <v>785</v>
      </c>
      <c r="I183" s="474" t="s">
        <v>786</v>
      </c>
      <c r="J183" s="481" t="s">
        <v>182</v>
      </c>
      <c r="K183" s="476" t="s">
        <v>380</v>
      </c>
      <c r="L183" s="476">
        <v>20</v>
      </c>
      <c r="M183" s="450" t="str">
        <f t="shared" si="66"/>
        <v>Baja</v>
      </c>
      <c r="N183" s="451">
        <f t="shared" si="65"/>
        <v>0.4</v>
      </c>
      <c r="O183" s="452" t="s">
        <v>769</v>
      </c>
      <c r="P183" s="451" t="str">
        <f>IF(NOT(ISERROR(MATCH(O183,'Tabla Impacto'!$B$222:$B$224,0))),'Tabla Impacto'!$F$224&amp;"Por favor no seleccionar los criterios de impacto(Afectación Económica o presupuestal y Pérdida Reputacional)",O183)</f>
        <v xml:space="preserve">     Entre 100 y 500 SMLMV </v>
      </c>
      <c r="Q183" s="453" t="str">
        <f>IF(OR(P183='[1]Tabla Impacto'!$C$12,P183='[1]Tabla Impacto'!$D$12),"Leve",IF(OR(P183='[1]Tabla Impacto'!$C$13,P183='[1]Tabla Impacto'!$D$13),"Menor",IF(OR(P183='[1]Tabla Impacto'!$C$14,P183='[1]Tabla Impacto'!$D$14),"Moderado",IF(OR(P183='[1]Tabla Impacto'!$C$15,P183='[1]Tabla Impacto'!$D$15),"Mayor",IF(OR(P183='[1]Tabla Impacto'!$C$16,P183='[1]Tabla Impacto'!$D$16),"Catastrófico","")))))</f>
        <v>Mayor</v>
      </c>
      <c r="R183" s="452">
        <f t="shared" si="57"/>
        <v>0.8</v>
      </c>
      <c r="S183" s="454" t="str">
        <f t="shared" si="58"/>
        <v>Alto</v>
      </c>
      <c r="T183" s="457">
        <v>2</v>
      </c>
      <c r="U183" s="477" t="s">
        <v>788</v>
      </c>
      <c r="V183" s="457" t="str">
        <f t="shared" si="64"/>
        <v>Probabilidad</v>
      </c>
      <c r="W183" s="458" t="s">
        <v>187</v>
      </c>
      <c r="X183" s="458" t="s">
        <v>188</v>
      </c>
      <c r="Y183" s="459" t="str">
        <f t="shared" si="59"/>
        <v>40%</v>
      </c>
      <c r="Z183" s="458" t="s">
        <v>222</v>
      </c>
      <c r="AA183" s="458" t="s">
        <v>190</v>
      </c>
      <c r="AB183" s="458" t="s">
        <v>191</v>
      </c>
      <c r="AC183" s="460">
        <f>IFERROR(IF(AND(V182="Probabilidad",V183="Probabilidad"),(AE182-(+AE182*Y183)),IF(V183="Probabilidad",(N182-(+N182*Y183)),IF(V183="Impacto",AE182,""))),"")</f>
        <v>0.16800000000000001</v>
      </c>
      <c r="AD183" s="461" t="str">
        <f t="shared" si="60"/>
        <v>Muy Baja</v>
      </c>
      <c r="AE183" s="462">
        <f t="shared" si="61"/>
        <v>0.16800000000000001</v>
      </c>
      <c r="AF183" s="461" t="str">
        <f t="shared" si="62"/>
        <v>Moderado</v>
      </c>
      <c r="AG183" s="462">
        <f>IFERROR(IF(AND(V182="Impacto",V183="Impacto"),(AG176-(+AG176*Y183)),IF(V183="Impacto",($R$50-(+$R$50*Y183)),IF(V183="Probabilidad",AG176,""))),"")</f>
        <v>0.6</v>
      </c>
      <c r="AH183" s="463" t="str">
        <f t="shared" si="63"/>
        <v>Moderado</v>
      </c>
      <c r="AI183" s="464" t="s">
        <v>192</v>
      </c>
      <c r="AJ183" s="465"/>
      <c r="AK183" s="209"/>
      <c r="AL183" s="465"/>
      <c r="AM183" s="466"/>
      <c r="AN183" s="468"/>
    </row>
    <row r="184" spans="1:40" ht="409.5" x14ac:dyDescent="0.2">
      <c r="A184" s="469">
        <v>81</v>
      </c>
      <c r="B184" s="469" t="s">
        <v>789</v>
      </c>
      <c r="C184" s="470" t="s">
        <v>783</v>
      </c>
      <c r="D184" s="447" t="str">
        <f>IFERROR(INDEX('Base de datos gestión'!$D$28:$D$50,MATCH(C184,'Base de datos gestión'!$C$28:$C$50,0)), 0)</f>
        <v>Defender permanentemente los intereses patrimoniales e institucionales del INM, atendiendo las acciones que en contra del INM puedan iniciar funcionarios, exfuncionarios o terceras personas (personas jurídicas o naturales) que se sientan perjudicadas por acciones u omisiones del Instituto Nacional de Metrología, así como de las acciones que por ley se deban iniciar en contra de funcionarios, exfuncionarios o terceras personas que lesionen el interés patrimonial o institucional de la entidad.
El proceso se relaciona con el objetivo estratégico: Fortalecer la capacidad administrativa y de desempeño institucional para garantizar la eficiencia y calidad a los procesos de la entidad</v>
      </c>
      <c r="E184" s="447" t="str">
        <f>IFERROR(INDEX('Base de datos gestión'!$E$28:$E$50,MATCH(C184,'Base de datos gestión'!$C$28:$C$50,0)), 0)</f>
        <v>Inicia desde la ocurrencia del hecho generador de la actuación administrativa o acción extrajudicial (conciliación) o judicial (demanda) hasta la terminación del respectivo proceso judicial o administrativo y/o archivo.</v>
      </c>
      <c r="F184" s="474" t="s">
        <v>178</v>
      </c>
      <c r="G184" s="477" t="s">
        <v>790</v>
      </c>
      <c r="H184" s="465" t="s">
        <v>194</v>
      </c>
      <c r="I184" s="477" t="s">
        <v>791</v>
      </c>
      <c r="J184" s="481" t="s">
        <v>182</v>
      </c>
      <c r="K184" s="476" t="s">
        <v>380</v>
      </c>
      <c r="L184" s="476">
        <v>11</v>
      </c>
      <c r="M184" s="450" t="str">
        <f t="shared" si="66"/>
        <v>Baja</v>
      </c>
      <c r="N184" s="451">
        <f t="shared" si="65"/>
        <v>0.4</v>
      </c>
      <c r="O184" s="452" t="s">
        <v>610</v>
      </c>
      <c r="P184" s="451" t="str">
        <f>IF(NOT(ISERROR(MATCH(O184,'Tabla Impacto'!$B$222:$B$224,0))),'Tabla Impacto'!$F$224&amp;"Por favor no seleccionar los criterios de impacto(Afectación Económica o presupuestal y Pérdida Reputacional)",O184)</f>
        <v xml:space="preserve">     Entre 50 y 100 SMLMV </v>
      </c>
      <c r="Q184" s="453" t="str">
        <f>IF(OR(P184='[1]Tabla Impacto'!$C$12,P184='[1]Tabla Impacto'!$D$12),"Leve",IF(OR(P184='[1]Tabla Impacto'!$C$13,P184='[1]Tabla Impacto'!$D$13),"Menor",IF(OR(P184='[1]Tabla Impacto'!$C$14,P184='[1]Tabla Impacto'!$D$14),"Moderado",IF(OR(P184='[1]Tabla Impacto'!$C$15,P184='[1]Tabla Impacto'!$D$15),"Mayor",IF(OR(P184='[1]Tabla Impacto'!$C$16,P184='[1]Tabla Impacto'!$D$16),"Catastrófico","")))))</f>
        <v>Moderado</v>
      </c>
      <c r="R184" s="452">
        <f t="shared" si="57"/>
        <v>0.6</v>
      </c>
      <c r="S184" s="454" t="str">
        <f t="shared" si="58"/>
        <v>Moderado</v>
      </c>
      <c r="T184" s="457">
        <v>1</v>
      </c>
      <c r="U184" s="477" t="s">
        <v>792</v>
      </c>
      <c r="V184" s="457" t="str">
        <f>IF(OR(W184="Preventivo",W184="Detectivo"),"Probabilidad",IF(W184="Correctivo","Impacto",""))</f>
        <v>Probabilidad</v>
      </c>
      <c r="W184" s="458" t="s">
        <v>187</v>
      </c>
      <c r="X184" s="458" t="s">
        <v>188</v>
      </c>
      <c r="Y184" s="459" t="str">
        <f t="shared" si="59"/>
        <v>40%</v>
      </c>
      <c r="Z184" s="458" t="s">
        <v>222</v>
      </c>
      <c r="AA184" s="458" t="s">
        <v>190</v>
      </c>
      <c r="AB184" s="458" t="s">
        <v>191</v>
      </c>
      <c r="AC184" s="460">
        <f>IFERROR(IF(AND(V183="Probabilidad",V184="Probabilidad"),(AE183-(+AE183*Y184)),IF(AND(V183="Impacto",V184="Probabilidad"),(AE182-(+AE182*Y184)),IF(V184="Impacto",AE183,""))),"")</f>
        <v>0.1008</v>
      </c>
      <c r="AD184" s="461" t="str">
        <f t="shared" si="60"/>
        <v>Muy Baja</v>
      </c>
      <c r="AE184" s="462">
        <f t="shared" si="61"/>
        <v>0.1008</v>
      </c>
      <c r="AF184" s="461" t="str">
        <f t="shared" si="62"/>
        <v>Moderado</v>
      </c>
      <c r="AG184" s="462">
        <f>IFERROR(IF(AND(V183="Impacto",V184="Impacto"),(AG183-(+AG183*Y184)),IF(AND(V183="Probabilidad",V184="Impacto"),(AG182-(+AG182*Y184)),IF(V184="Probabilidad",AG183,""))),"")</f>
        <v>0.6</v>
      </c>
      <c r="AH184" s="463" t="str">
        <f t="shared" si="63"/>
        <v>Moderado</v>
      </c>
      <c r="AI184" s="464" t="s">
        <v>192</v>
      </c>
      <c r="AJ184" s="465"/>
      <c r="AK184" s="209"/>
      <c r="AL184" s="465"/>
      <c r="AM184" s="466"/>
      <c r="AN184" s="468"/>
    </row>
    <row r="185" spans="1:40" ht="370.5" x14ac:dyDescent="0.2">
      <c r="A185" s="469">
        <v>82</v>
      </c>
      <c r="B185" s="469" t="s">
        <v>793</v>
      </c>
      <c r="C185" s="470" t="s">
        <v>794</v>
      </c>
      <c r="D185" s="447" t="str">
        <f>IFERROR(INDEX('Base de datos gestión'!$D$28:$D$50,MATCH(C185,'Base de datos gestión'!$C$28:$C$50,0)), 0)</f>
        <v>Administrar permanentemente el Sistema de Gestión Documental del INM, mediante la aplicación y seguimiento de los instrumentos archivísticos, con el fin de garantizar la disponibilidad, conservación y recuperación de todos documentos y registros generados en cumplimiento de las funciones del INM.
El proceso se relaciona con el objetivo estratégico: Fortalecer la capacidad administrativa y de desempeño institucional para garantizar la eficiencia y calidad a los procesos de la entidad</v>
      </c>
      <c r="E185" s="447" t="str">
        <f>IFERROR(INDEX('Base de datos gestión'!$E$28:$E$50,MATCH(C185,'Base de datos gestión'!$C$28:$C$50,0)), 0)</f>
        <v>Inicia desde la producción y/o recepción de los documentos y termina con la eliminación o conservación total en un archivo permanente. Aplica al manejo de toda la documentación en medio de soporte físico o electrónico.</v>
      </c>
      <c r="F185" s="474" t="s">
        <v>178</v>
      </c>
      <c r="G185" s="477" t="s">
        <v>795</v>
      </c>
      <c r="H185" s="477" t="s">
        <v>796</v>
      </c>
      <c r="I185" s="477" t="s">
        <v>797</v>
      </c>
      <c r="J185" s="481" t="s">
        <v>238</v>
      </c>
      <c r="K185" s="476" t="s">
        <v>258</v>
      </c>
      <c r="L185" s="476">
        <v>4</v>
      </c>
      <c r="M185" s="450" t="str">
        <f t="shared" si="66"/>
        <v>Baja</v>
      </c>
      <c r="N185" s="451">
        <f t="shared" si="65"/>
        <v>0.4</v>
      </c>
      <c r="O185" s="452" t="s">
        <v>332</v>
      </c>
      <c r="P185" s="451" t="str">
        <f>IF(NOT(ISERROR(MATCH(O185,'Tabla Impacto'!$B$222:$B$224,0))),'Tabla Impacto'!$F$224&amp;"Por favor no seleccionar los criterios de impacto(Afectación Económica o presupuestal y Pérdida Reputacional)",O185)</f>
        <v xml:space="preserve">     El riesgo afecta la imagen de alguna área de la organización</v>
      </c>
      <c r="Q185" s="453" t="str">
        <f>IF(OR(P185='[1]Tabla Impacto'!$C$12,P185='[1]Tabla Impacto'!$D$12),"Leve",IF(OR(P185='[1]Tabla Impacto'!$C$13,P185='[1]Tabla Impacto'!$D$13),"Menor",IF(OR(P185='[1]Tabla Impacto'!$C$14,P185='[1]Tabla Impacto'!$D$14),"Moderado",IF(OR(P185='[1]Tabla Impacto'!$C$15,P185='[1]Tabla Impacto'!$D$15),"Mayor",IF(OR(P185='[1]Tabla Impacto'!$C$16,P185='[1]Tabla Impacto'!$D$16),"Catastrófico","")))))</f>
        <v>Leve</v>
      </c>
      <c r="R185" s="452">
        <f t="shared" si="57"/>
        <v>0.2</v>
      </c>
      <c r="S185" s="454" t="str">
        <f t="shared" si="58"/>
        <v>Bajo</v>
      </c>
      <c r="T185" s="457">
        <v>1</v>
      </c>
      <c r="U185" s="477" t="s">
        <v>798</v>
      </c>
      <c r="V185" s="457" t="str">
        <f t="shared" si="64"/>
        <v>Probabilidad</v>
      </c>
      <c r="W185" s="458" t="s">
        <v>187</v>
      </c>
      <c r="X185" s="458" t="s">
        <v>188</v>
      </c>
      <c r="Y185" s="459" t="str">
        <f t="shared" si="59"/>
        <v>40%</v>
      </c>
      <c r="Z185" s="458" t="s">
        <v>222</v>
      </c>
      <c r="AA185" s="458" t="s">
        <v>190</v>
      </c>
      <c r="AB185" s="458" t="s">
        <v>191</v>
      </c>
      <c r="AC185" s="460">
        <f>IFERROR(IF(AND(V184="Probabilidad",V185="Probabilidad"),(AE184-(+AE184*Y185)),IF(AND(V184="Impacto",V185="Probabilidad"),(AE183-(+AE183*Y185)),IF(V185="Impacto",AE184,""))),"")</f>
        <v>6.0479999999999999E-2</v>
      </c>
      <c r="AD185" s="461" t="str">
        <f t="shared" si="60"/>
        <v>Muy Baja</v>
      </c>
      <c r="AE185" s="462">
        <f t="shared" si="61"/>
        <v>6.0479999999999999E-2</v>
      </c>
      <c r="AF185" s="461" t="str">
        <f t="shared" si="62"/>
        <v>Moderado</v>
      </c>
      <c r="AG185" s="462">
        <f>IFERROR(IF(AND(V184="Impacto",V185="Impacto"),(AG184-(+AG184*Y185)),IF(AND(V184="Probabilidad",V185="Impacto"),(AG183-(+AG183*Y185)),IF(V185="Probabilidad",AG184,""))),"")</f>
        <v>0.6</v>
      </c>
      <c r="AH185" s="463" t="str">
        <f t="shared" si="63"/>
        <v>Moderado</v>
      </c>
      <c r="AI185" s="464" t="s">
        <v>192</v>
      </c>
      <c r="AJ185" s="465"/>
      <c r="AK185" s="209"/>
      <c r="AL185" s="465"/>
      <c r="AM185" s="466"/>
      <c r="AN185" s="468"/>
    </row>
    <row r="186" spans="1:40" ht="370.5" x14ac:dyDescent="0.2">
      <c r="A186" s="469">
        <v>83</v>
      </c>
      <c r="B186" s="469" t="s">
        <v>799</v>
      </c>
      <c r="C186" s="470" t="s">
        <v>794</v>
      </c>
      <c r="D186" s="447" t="str">
        <f>IFERROR(INDEX('Base de datos gestión'!$D$28:$D$50,MATCH(C186,'Base de datos gestión'!$C$28:$C$50,0)), 0)</f>
        <v>Administrar permanentemente el Sistema de Gestión Documental del INM, mediante la aplicación y seguimiento de los instrumentos archivísticos, con el fin de garantizar la disponibilidad, conservación y recuperación de todos documentos y registros generados en cumplimiento de las funciones del INM.
El proceso se relaciona con el objetivo estratégico: Fortalecer la capacidad administrativa y de desempeño institucional para garantizar la eficiencia y calidad a los procesos de la entidad</v>
      </c>
      <c r="E186" s="447" t="str">
        <f>IFERROR(INDEX('Base de datos gestión'!$E$28:$E$50,MATCH(C186,'Base de datos gestión'!$C$28:$C$50,0)), 0)</f>
        <v>Inicia desde la producción y/o recepción de los documentos y termina con la eliminación o conservación total en un archivo permanente. Aplica al manejo de toda la documentación en medio de soporte físico o electrónico.</v>
      </c>
      <c r="F186" s="474" t="s">
        <v>178</v>
      </c>
      <c r="G186" s="475" t="s">
        <v>800</v>
      </c>
      <c r="H186" s="474" t="s">
        <v>801</v>
      </c>
      <c r="I186" s="474" t="s">
        <v>802</v>
      </c>
      <c r="J186" s="481" t="s">
        <v>238</v>
      </c>
      <c r="K186" s="476" t="s">
        <v>258</v>
      </c>
      <c r="L186" s="476">
        <v>4</v>
      </c>
      <c r="M186" s="450" t="str">
        <f t="shared" si="66"/>
        <v>Baja</v>
      </c>
      <c r="N186" s="451">
        <f t="shared" si="65"/>
        <v>0.4</v>
      </c>
      <c r="O186" s="452" t="s">
        <v>332</v>
      </c>
      <c r="P186" s="451" t="str">
        <f>IF(NOT(ISERROR(MATCH(O186,'Tabla Impacto'!$B$222:$B$224,0))),'Tabla Impacto'!$F$224&amp;"Por favor no seleccionar los criterios de impacto(Afectación Económica o presupuestal y Pérdida Reputacional)",O186)</f>
        <v xml:space="preserve">     El riesgo afecta la imagen de alguna área de la organización</v>
      </c>
      <c r="Q186" s="453" t="str">
        <f>IF(OR(P186='[1]Tabla Impacto'!$C$12,P186='[1]Tabla Impacto'!$D$12),"Leve",IF(OR(P186='[1]Tabla Impacto'!$C$13,P186='[1]Tabla Impacto'!$D$13),"Menor",IF(OR(P186='[1]Tabla Impacto'!$C$14,P186='[1]Tabla Impacto'!$D$14),"Moderado",IF(OR(P186='[1]Tabla Impacto'!$C$15,P186='[1]Tabla Impacto'!$D$15),"Mayor",IF(OR(P186='[1]Tabla Impacto'!$C$16,P186='[1]Tabla Impacto'!$D$16),"Catastrófico","")))))</f>
        <v>Leve</v>
      </c>
      <c r="R186" s="452">
        <f t="shared" si="57"/>
        <v>0.2</v>
      </c>
      <c r="S186" s="454" t="str">
        <f t="shared" si="58"/>
        <v>Bajo</v>
      </c>
      <c r="T186" s="457">
        <v>1</v>
      </c>
      <c r="U186" s="477" t="s">
        <v>803</v>
      </c>
      <c r="V186" s="457" t="str">
        <f t="shared" si="64"/>
        <v>Probabilidad</v>
      </c>
      <c r="W186" s="458" t="s">
        <v>187</v>
      </c>
      <c r="X186" s="458" t="s">
        <v>188</v>
      </c>
      <c r="Y186" s="459" t="str">
        <f t="shared" si="59"/>
        <v>40%</v>
      </c>
      <c r="Z186" s="458" t="s">
        <v>222</v>
      </c>
      <c r="AA186" s="458" t="s">
        <v>190</v>
      </c>
      <c r="AB186" s="458" t="s">
        <v>191</v>
      </c>
      <c r="AC186" s="460">
        <f>IFERROR(IF(AND(V185="Probabilidad",V186="Probabilidad"),(AE185-(+AE185*Y186)),IF(AND(V185="Impacto",V186="Probabilidad"),(AE184-(+AE184*Y186)),IF(V186="Impacto",AE185,""))),"")</f>
        <v>3.6288000000000001E-2</v>
      </c>
      <c r="AD186" s="461" t="str">
        <f t="shared" si="60"/>
        <v>Muy Baja</v>
      </c>
      <c r="AE186" s="462">
        <f t="shared" si="61"/>
        <v>3.6288000000000001E-2</v>
      </c>
      <c r="AF186" s="461" t="str">
        <f t="shared" si="62"/>
        <v>Moderado</v>
      </c>
      <c r="AG186" s="462">
        <f>IFERROR(IF(AND(V185="Impacto",V186="Impacto"),(AG185-(+AG185*Y186)),IF(AND(V185="Probabilidad",V186="Impacto"),(AG184-(+AG184*Y186)),IF(V186="Probabilidad",AG185,""))),"")</f>
        <v>0.6</v>
      </c>
      <c r="AH186" s="463" t="str">
        <f t="shared" si="63"/>
        <v>Moderado</v>
      </c>
      <c r="AI186" s="464" t="s">
        <v>192</v>
      </c>
      <c r="AJ186" s="465"/>
      <c r="AK186" s="209"/>
      <c r="AL186" s="465"/>
      <c r="AM186" s="466"/>
      <c r="AN186" s="468"/>
    </row>
    <row r="187" spans="1:40" ht="370.5" x14ac:dyDescent="0.2">
      <c r="A187" s="478">
        <v>83</v>
      </c>
      <c r="B187" s="478" t="s">
        <v>799</v>
      </c>
      <c r="C187" s="479" t="s">
        <v>794</v>
      </c>
      <c r="D187" s="447" t="str">
        <f>IFERROR(INDEX('Base de datos gestión'!$D$28:$D$50,MATCH(C187,'Base de datos gestión'!$C$28:$C$50,0)), 0)</f>
        <v>Administrar permanentemente el Sistema de Gestión Documental del INM, mediante la aplicación y seguimiento de los instrumentos archivísticos, con el fin de garantizar la disponibilidad, conservación y recuperación de todos documentos y registros generados en cumplimiento de las funciones del INM.
El proceso se relaciona con el objetivo estratégico: Fortalecer la capacidad administrativa y de desempeño institucional para garantizar la eficiencia y calidad a los procesos de la entidad</v>
      </c>
      <c r="E187" s="447" t="str">
        <f>IFERROR(INDEX('Base de datos gestión'!$E$28:$E$50,MATCH(C187,'Base de datos gestión'!$C$28:$C$50,0)), 0)</f>
        <v>Inicia desde la producción y/o recepción de los documentos y termina con la eliminación o conservación total en un archivo permanente. Aplica al manejo de toda la documentación en medio de soporte físico o electrónico.</v>
      </c>
      <c r="F187" s="474" t="s">
        <v>178</v>
      </c>
      <c r="G187" s="475" t="s">
        <v>800</v>
      </c>
      <c r="H187" s="474" t="s">
        <v>801</v>
      </c>
      <c r="I187" s="474" t="s">
        <v>802</v>
      </c>
      <c r="J187" s="481" t="s">
        <v>238</v>
      </c>
      <c r="K187" s="476" t="s">
        <v>258</v>
      </c>
      <c r="L187" s="476">
        <v>4</v>
      </c>
      <c r="M187" s="450" t="str">
        <f t="shared" si="66"/>
        <v>Baja</v>
      </c>
      <c r="N187" s="451">
        <f t="shared" si="65"/>
        <v>0.4</v>
      </c>
      <c r="O187" s="452" t="s">
        <v>332</v>
      </c>
      <c r="P187" s="451" t="str">
        <f>IF(NOT(ISERROR(MATCH(O187,'Tabla Impacto'!$B$222:$B$224,0))),'Tabla Impacto'!$F$224&amp;"Por favor no seleccionar los criterios de impacto(Afectación Económica o presupuestal y Pérdida Reputacional)",O187)</f>
        <v xml:space="preserve">     El riesgo afecta la imagen de alguna área de la organización</v>
      </c>
      <c r="Q187" s="453" t="str">
        <f>IF(OR(P187='[1]Tabla Impacto'!$C$12,P187='[1]Tabla Impacto'!$D$12),"Leve",IF(OR(P187='[1]Tabla Impacto'!$C$13,P187='[1]Tabla Impacto'!$D$13),"Menor",IF(OR(P187='[1]Tabla Impacto'!$C$14,P187='[1]Tabla Impacto'!$D$14),"Moderado",IF(OR(P187='[1]Tabla Impacto'!$C$15,P187='[1]Tabla Impacto'!$D$15),"Mayor",IF(OR(P187='[1]Tabla Impacto'!$C$16,P187='[1]Tabla Impacto'!$D$16),"Catastrófico","")))))</f>
        <v>Leve</v>
      </c>
      <c r="R187" s="452">
        <f t="shared" si="57"/>
        <v>0.2</v>
      </c>
      <c r="S187" s="454" t="str">
        <f t="shared" si="58"/>
        <v>Bajo</v>
      </c>
      <c r="T187" s="457">
        <v>2</v>
      </c>
      <c r="U187" s="477" t="s">
        <v>804</v>
      </c>
      <c r="V187" s="457" t="str">
        <f t="shared" si="64"/>
        <v>Probabilidad</v>
      </c>
      <c r="W187" s="458" t="s">
        <v>187</v>
      </c>
      <c r="X187" s="458" t="s">
        <v>188</v>
      </c>
      <c r="Y187" s="459" t="str">
        <f t="shared" si="59"/>
        <v>40%</v>
      </c>
      <c r="Z187" s="458" t="s">
        <v>222</v>
      </c>
      <c r="AA187" s="458" t="s">
        <v>190</v>
      </c>
      <c r="AB187" s="458" t="s">
        <v>191</v>
      </c>
      <c r="AC187" s="460">
        <f>IFERROR(IF(AND(V186="Probabilidad",V187="Probabilidad"),(AE186-(+AE186*Y187)),IF(AND(V186="Impacto",V187="Probabilidad"),(AE185-(+AE185*Y187)),IF(V187="Impacto",AE186,""))),"")</f>
        <v>2.1772800000000002E-2</v>
      </c>
      <c r="AD187" s="461" t="str">
        <f t="shared" si="60"/>
        <v>Muy Baja</v>
      </c>
      <c r="AE187" s="462">
        <f t="shared" si="61"/>
        <v>2.1772800000000002E-2</v>
      </c>
      <c r="AF187" s="461" t="str">
        <f t="shared" si="62"/>
        <v>Moderado</v>
      </c>
      <c r="AG187" s="462">
        <f>IFERROR(IF(AND(V186="Impacto",V187="Impacto"),(AG186-(+AG186*Y187)),IF(AND(V186="Probabilidad",V187="Impacto"),(AG185-(+AG185*Y187)),IF(V187="Probabilidad",AG186,""))),"")</f>
        <v>0.6</v>
      </c>
      <c r="AH187" s="463" t="str">
        <f t="shared" si="63"/>
        <v>Moderado</v>
      </c>
      <c r="AI187" s="464" t="s">
        <v>192</v>
      </c>
      <c r="AJ187" s="465"/>
      <c r="AK187" s="209"/>
      <c r="AL187" s="465"/>
      <c r="AM187" s="466"/>
      <c r="AN187" s="468"/>
    </row>
    <row r="188" spans="1:40" ht="370.5" x14ac:dyDescent="0.2">
      <c r="A188" s="446">
        <v>84</v>
      </c>
      <c r="B188" s="446" t="s">
        <v>805</v>
      </c>
      <c r="C188" s="447" t="s">
        <v>794</v>
      </c>
      <c r="D188" s="447" t="str">
        <f>IFERROR(INDEX('Base de datos gestión'!$D$28:$D$50,MATCH(C188,'Base de datos gestión'!$C$28:$C$50,0)), 0)</f>
        <v>Administrar permanentemente el Sistema de Gestión Documental del INM, mediante la aplicación y seguimiento de los instrumentos archivísticos, con el fin de garantizar la disponibilidad, conservación y recuperación de todos documentos y registros generados en cumplimiento de las funciones del INM.
El proceso se relaciona con el objetivo estratégico: Fortalecer la capacidad administrativa y de desempeño institucional para garantizar la eficiencia y calidad a los procesos de la entidad</v>
      </c>
      <c r="E188" s="447" t="str">
        <f>IFERROR(INDEX('Base de datos gestión'!$E$28:$E$50,MATCH(C188,'Base de datos gestión'!$C$28:$C$50,0)), 0)</f>
        <v>Inicia desde la producción y/o recepción de los documentos y termina con la eliminación o conservación total en un archivo permanente. Aplica al manejo de toda la documentación en medio de soporte físico o electrónico.</v>
      </c>
      <c r="F188" s="474" t="s">
        <v>178</v>
      </c>
      <c r="G188" s="477" t="s">
        <v>806</v>
      </c>
      <c r="H188" s="477" t="s">
        <v>807</v>
      </c>
      <c r="I188" s="477" t="s">
        <v>808</v>
      </c>
      <c r="J188" s="481" t="s">
        <v>238</v>
      </c>
      <c r="K188" s="476" t="s">
        <v>258</v>
      </c>
      <c r="L188" s="476">
        <v>2</v>
      </c>
      <c r="M188" s="450" t="str">
        <f t="shared" si="66"/>
        <v>Muy Baja</v>
      </c>
      <c r="N188" s="451">
        <f t="shared" si="65"/>
        <v>0.2</v>
      </c>
      <c r="O188" s="452" t="s">
        <v>332</v>
      </c>
      <c r="P188" s="451" t="str">
        <f>IF(NOT(ISERROR(MATCH(O188,'Tabla Impacto'!$B$222:$B$224,0))),'Tabla Impacto'!$F$224&amp;"Por favor no seleccionar los criterios de impacto(Afectación Económica o presupuestal y Pérdida Reputacional)",O188)</f>
        <v xml:space="preserve">     El riesgo afecta la imagen de alguna área de la organización</v>
      </c>
      <c r="Q188" s="453" t="str">
        <f>IF(OR(P188='[1]Tabla Impacto'!$C$12,P188='[1]Tabla Impacto'!$D$12),"Leve",IF(OR(P188='[1]Tabla Impacto'!$C$13,P188='[1]Tabla Impacto'!$D$13),"Menor",IF(OR(P188='[1]Tabla Impacto'!$C$14,P188='[1]Tabla Impacto'!$D$14),"Moderado",IF(OR(P188='[1]Tabla Impacto'!$C$15,P188='[1]Tabla Impacto'!$D$15),"Mayor",IF(OR(P188='[1]Tabla Impacto'!$C$16,P188='[1]Tabla Impacto'!$D$16),"Catastrófico","")))))</f>
        <v>Leve</v>
      </c>
      <c r="R188" s="452">
        <f t="shared" si="57"/>
        <v>0.2</v>
      </c>
      <c r="S188" s="454" t="str">
        <f t="shared" si="58"/>
        <v>Bajo</v>
      </c>
      <c r="T188" s="457">
        <v>1</v>
      </c>
      <c r="U188" s="477" t="s">
        <v>809</v>
      </c>
      <c r="V188" s="457" t="str">
        <f t="shared" si="64"/>
        <v>Probabilidad</v>
      </c>
      <c r="W188" s="458" t="s">
        <v>187</v>
      </c>
      <c r="X188" s="458" t="s">
        <v>188</v>
      </c>
      <c r="Y188" s="459" t="str">
        <f t="shared" si="59"/>
        <v>40%</v>
      </c>
      <c r="Z188" s="458" t="s">
        <v>222</v>
      </c>
      <c r="AA188" s="458" t="s">
        <v>190</v>
      </c>
      <c r="AB188" s="458" t="s">
        <v>191</v>
      </c>
      <c r="AC188" s="460">
        <f>IFERROR(IF(V188="Probabilidad",(N188-(+N188*Y188)),IF(V188="Impacto",N188,"")),"")</f>
        <v>0.12</v>
      </c>
      <c r="AD188" s="461" t="str">
        <f t="shared" si="60"/>
        <v>Muy Baja</v>
      </c>
      <c r="AE188" s="462">
        <f t="shared" si="61"/>
        <v>0.12</v>
      </c>
      <c r="AF188" s="461" t="str">
        <f t="shared" si="62"/>
        <v>Leve</v>
      </c>
      <c r="AG188" s="462">
        <f>IFERROR(IF(V188="Impacto",(R188-(+R188*Y188)),IF(V188="Probabilidad",R188,"")),"")</f>
        <v>0.2</v>
      </c>
      <c r="AH188" s="463" t="str">
        <f t="shared" si="63"/>
        <v>Bajo</v>
      </c>
      <c r="AI188" s="464" t="s">
        <v>192</v>
      </c>
      <c r="AJ188" s="465"/>
      <c r="AK188" s="209"/>
      <c r="AL188" s="465"/>
      <c r="AM188" s="466"/>
      <c r="AN188" s="468"/>
    </row>
    <row r="189" spans="1:40" ht="409.5" x14ac:dyDescent="0.2">
      <c r="A189" s="469">
        <v>85</v>
      </c>
      <c r="B189" s="469" t="s">
        <v>810</v>
      </c>
      <c r="C189" s="470" t="s">
        <v>811</v>
      </c>
      <c r="D189" s="447" t="str">
        <f>IFERROR(INDEX('Base de datos gestión'!$D$28:$D$50,MATCH(C189,'Base de datos gestión'!$C$28:$C$50,0)), 0)</f>
        <v>Administrar de manera eficiente el talento humano al servicio del INM, mediante la realización de actividades de ingreso, desarrollo y retiro de personal para cada vigencia, que involucren la totalidad de los servidores públicos, garantizando la idoneidad y competencia, y fortaleciendo el clima y la cultura laboral.
El proceso se relaciona con el objetivo estratégico: Fortalecer la capacidad administrativa y de desempeño institucional para garantizar la eficiencia y calidad a los procesos de la entidad.</v>
      </c>
      <c r="E189" s="447" t="str">
        <f>IFERROR(INDEX('Base de datos gestión'!$E$28:$E$50,MATCH(C189,'Base de datos gestión'!$C$28:$C$50,0)), 0)</f>
        <v>Inicia con la selección del personal y termina con la desvinculación de los funcionarios y atención a los requerimientos posteriores a la desvinculación. Incluye todas las actividades de desarrollo laboral relacionadas con situaciones administrativas, ejecución de los planes de gestión de talento humano y las actividades del Sistema de Seguridad y Salud en el Trabajo.</v>
      </c>
      <c r="F189" s="474" t="s">
        <v>234</v>
      </c>
      <c r="G189" s="477" t="s">
        <v>812</v>
      </c>
      <c r="H189" s="477" t="s">
        <v>813</v>
      </c>
      <c r="I189" s="477" t="s">
        <v>814</v>
      </c>
      <c r="J189" s="481" t="s">
        <v>182</v>
      </c>
      <c r="K189" s="476" t="s">
        <v>364</v>
      </c>
      <c r="L189" s="476">
        <v>500</v>
      </c>
      <c r="M189" s="450" t="str">
        <f t="shared" si="66"/>
        <v>Media</v>
      </c>
      <c r="N189" s="451">
        <f t="shared" si="65"/>
        <v>0.6</v>
      </c>
      <c r="O189" s="452" t="s">
        <v>214</v>
      </c>
      <c r="P189" s="451" t="str">
        <f>IF(NOT(ISERROR(MATCH(O189,'Tabla Impacto'!$B$222:$B$224,0))),'Tabla Impacto'!$F$224&amp;"Por favor no seleccionar los criterios de impacto(Afectación Económica o presupuestal y Pérdida Reputacional)",O189)</f>
        <v xml:space="preserve">     El riesgo afecta la imagen de la entidad con algunos usuarios de relevancia frente al logro de los objetivos</v>
      </c>
      <c r="Q189" s="453" t="str">
        <f>IF(OR(P189='[1]Tabla Impacto'!$C$12,P189='[1]Tabla Impacto'!$D$12),"Leve",IF(OR(P189='[1]Tabla Impacto'!$C$13,P189='[1]Tabla Impacto'!$D$13),"Menor",IF(OR(P189='[1]Tabla Impacto'!$C$14,P189='[1]Tabla Impacto'!$D$14),"Moderado",IF(OR(P189='[1]Tabla Impacto'!$C$15,P189='[1]Tabla Impacto'!$D$15),"Mayor",IF(OR(P189='[1]Tabla Impacto'!$C$16,P189='[1]Tabla Impacto'!$D$16),"Catastrófico","")))))</f>
        <v>Moderado</v>
      </c>
      <c r="R189" s="452">
        <f t="shared" si="57"/>
        <v>0.6</v>
      </c>
      <c r="S189" s="454" t="str">
        <f t="shared" si="58"/>
        <v>Moderado</v>
      </c>
      <c r="T189" s="457">
        <v>1</v>
      </c>
      <c r="U189" s="477" t="s">
        <v>815</v>
      </c>
      <c r="V189" s="457" t="str">
        <f t="shared" si="64"/>
        <v>Probabilidad</v>
      </c>
      <c r="W189" s="458" t="s">
        <v>187</v>
      </c>
      <c r="X189" s="458" t="s">
        <v>188</v>
      </c>
      <c r="Y189" s="459" t="str">
        <f t="shared" si="59"/>
        <v>40%</v>
      </c>
      <c r="Z189" s="458" t="s">
        <v>222</v>
      </c>
      <c r="AA189" s="458" t="s">
        <v>190</v>
      </c>
      <c r="AB189" s="458" t="s">
        <v>191</v>
      </c>
      <c r="AC189" s="460">
        <f>IFERROR(IF(AND(V188="Probabilidad",V189="Probabilidad"),(AE188-(+AE188*Y189)),IF(V189="Probabilidad",(N188-(+N188*Y189)),IF(V189="Impacto",AE188,""))),"")</f>
        <v>7.1999999999999995E-2</v>
      </c>
      <c r="AD189" s="461" t="str">
        <f t="shared" si="60"/>
        <v>Muy Baja</v>
      </c>
      <c r="AE189" s="462">
        <f t="shared" si="61"/>
        <v>7.1999999999999995E-2</v>
      </c>
      <c r="AF189" s="461" t="str">
        <f t="shared" si="62"/>
        <v>Mayor</v>
      </c>
      <c r="AG189" s="462">
        <f>IFERROR(IF(AND(V188="Impacto",V189="Impacto"),(AG182-(+AG182*Y189)),IF(V189="Impacto",($R$56-(+$R$56*Y189)),IF(V189="Probabilidad",AG182,""))),"")</f>
        <v>0.8</v>
      </c>
      <c r="AH189" s="463" t="str">
        <f t="shared" si="63"/>
        <v>Alto</v>
      </c>
      <c r="AI189" s="464" t="s">
        <v>192</v>
      </c>
      <c r="AJ189" s="465"/>
      <c r="AK189" s="209"/>
      <c r="AL189" s="465"/>
      <c r="AM189" s="466"/>
      <c r="AN189" s="468"/>
    </row>
    <row r="190" spans="1:40" ht="409.5" x14ac:dyDescent="0.2">
      <c r="A190" s="469">
        <v>86</v>
      </c>
      <c r="B190" s="469" t="s">
        <v>816</v>
      </c>
      <c r="C190" s="470" t="s">
        <v>811</v>
      </c>
      <c r="D190" s="447" t="str">
        <f>IFERROR(INDEX('Base de datos gestión'!$D$28:$D$50,MATCH(C190,'Base de datos gestión'!$C$28:$C$50,0)), 0)</f>
        <v>Administrar de manera eficiente el talento humano al servicio del INM, mediante la realización de actividades de ingreso, desarrollo y retiro de personal para cada vigencia, que involucren la totalidad de los servidores públicos, garantizando la idoneidad y competencia, y fortaleciendo el clima y la cultura laboral.
El proceso se relaciona con el objetivo estratégico: Fortalecer la capacidad administrativa y de desempeño institucional para garantizar la eficiencia y calidad a los procesos de la entidad.</v>
      </c>
      <c r="E190" s="447" t="str">
        <f>IFERROR(INDEX('Base de datos gestión'!$E$28:$E$50,MATCH(C190,'Base de datos gestión'!$C$28:$C$50,0)), 0)</f>
        <v>Inicia con la selección del personal y termina con la desvinculación de los funcionarios y atención a los requerimientos posteriores a la desvinculación. Incluye todas las actividades de desarrollo laboral relacionadas con situaciones administrativas, ejecución de los planes de gestión de talento humano y las actividades del Sistema de Seguridad y Salud en el Trabajo.</v>
      </c>
      <c r="F190" s="474" t="s">
        <v>445</v>
      </c>
      <c r="G190" s="477" t="s">
        <v>817</v>
      </c>
      <c r="H190" s="477" t="s">
        <v>818</v>
      </c>
      <c r="I190" s="477" t="s">
        <v>819</v>
      </c>
      <c r="J190" s="481" t="s">
        <v>238</v>
      </c>
      <c r="K190" s="476" t="s">
        <v>258</v>
      </c>
      <c r="L190" s="476">
        <v>12</v>
      </c>
      <c r="M190" s="450" t="str">
        <f t="shared" si="66"/>
        <v>Baja</v>
      </c>
      <c r="N190" s="451">
        <f t="shared" si="65"/>
        <v>0.4</v>
      </c>
      <c r="O190" s="452" t="s">
        <v>677</v>
      </c>
      <c r="P190" s="451" t="str">
        <f>IF(NOT(ISERROR(MATCH(O190,'Tabla Impacto'!$B$222:$B$224,0))),'Tabla Impacto'!$F$224&amp;"Por favor no seleccionar los criterios de impacto(Afectación Económica o presupuestal y Pérdida Reputacional)",O190)</f>
        <v xml:space="preserve">     Afectación menor a 10 SMLMV .</v>
      </c>
      <c r="Q190" s="453" t="str">
        <f>IF(OR(P190='[1]Tabla Impacto'!$C$12,P190='[1]Tabla Impacto'!$D$12),"Leve",IF(OR(P190='[1]Tabla Impacto'!$C$13,P190='[1]Tabla Impacto'!$D$13),"Menor",IF(OR(P190='[1]Tabla Impacto'!$C$14,P190='[1]Tabla Impacto'!$D$14),"Moderado",IF(OR(P190='[1]Tabla Impacto'!$C$15,P190='[1]Tabla Impacto'!$D$15),"Mayor",IF(OR(P190='[1]Tabla Impacto'!$C$16,P190='[1]Tabla Impacto'!$D$16),"Catastrófico","")))))</f>
        <v>Leve</v>
      </c>
      <c r="R190" s="452">
        <f t="shared" ref="R190:R253" si="67">IF(Q190="","",IF(Q190="Leve",0.2,IF(Q190="Menor",0.4,IF(Q190="Moderado",0.6,IF(Q190="Mayor",0.8,IF(Q190="Catastrófico",1,))))))</f>
        <v>0.2</v>
      </c>
      <c r="S190" s="454" t="str">
        <f t="shared" ref="S190:S253" si="68">IF(OR(AND(M190="Muy Baja",Q190="Leve"),AND(M190="Muy Baja",Q190="Menor"),AND(M190="Baja",Q190="Leve")),"Bajo",IF(OR(AND(M190="Muy baja",Q190="Moderado"),AND(M190="Baja",Q190="Menor"),AND(M190="Baja",Q190="Moderado"),AND(M190="Media",Q190="Leve"),AND(M190="Media",Q190="Menor"),AND(M190="Media",Q190="Moderado"),AND(M190="Alta",Q190="Leve"),AND(M190="Alta",Q190="Menor")),"Moderado",IF(OR(AND(M190="Muy Baja",Q190="Mayor"),AND(M190="Baja",Q190="Mayor"),AND(M190="Media",Q190="Mayor"),AND(M190="Alta",Q190="Moderado"),AND(M190="Alta",Q190="Mayor"),AND(M190="Muy Alta",Q190="Leve"),AND(M190="Muy Alta",Q190="Menor"),AND(M190="Muy Alta",Q190="Moderado"),AND(M190="Muy Alta",Q190="Mayor")),"Alto",IF(OR(AND(M190="Muy Baja",Q190="Catastrófico"),AND(M190="Baja",Q190="Catastrófico"),AND(M190="Media",Q190="Catastrófico"),AND(M190="Alta",Q190="Catastrófico"),AND(M190="Muy Alta",Q190="Catastrófico")),"Extremo",""))))</f>
        <v>Bajo</v>
      </c>
      <c r="T190" s="457">
        <v>1</v>
      </c>
      <c r="U190" s="477" t="s">
        <v>820</v>
      </c>
      <c r="V190" s="457" t="str">
        <f t="shared" si="64"/>
        <v>Probabilidad</v>
      </c>
      <c r="W190" s="458" t="s">
        <v>187</v>
      </c>
      <c r="X190" s="458" t="s">
        <v>188</v>
      </c>
      <c r="Y190" s="459" t="str">
        <f t="shared" ref="Y190:Y213" si="69">IF(AND(W190="Preventivo",X190="Automático"),"50%",IF(AND(W190="Preventivo",X190="Manual"),"40%",IF(AND(W190="Detectivo",X190="Automático"),"40%",IF(AND(W190="Detectivo",X190="Manual"),"30%",IF(AND(W190="Correctivo",X190="Automático"),"35%",IF(AND(W190="Correctivo",X190="Manual"),"25%",""))))))</f>
        <v>40%</v>
      </c>
      <c r="Z190" s="458" t="s">
        <v>222</v>
      </c>
      <c r="AA190" s="458" t="s">
        <v>190</v>
      </c>
      <c r="AB190" s="458" t="s">
        <v>191</v>
      </c>
      <c r="AC190" s="460">
        <f>IFERROR(IF(AND(V189="Probabilidad",V190="Probabilidad"),(AE189-(+AE189*Y190)),IF(AND(V189="Impacto",V190="Probabilidad"),(AE188-(+AE188*Y190)),IF(V190="Impacto",AE189,""))),"")</f>
        <v>4.3199999999999995E-2</v>
      </c>
      <c r="AD190" s="461" t="str">
        <f t="shared" ref="AD190:AD213" si="70">IFERROR(IF(AC190="","",IF(AC190&lt;=0.2,"Muy Baja",IF(AC190&lt;=0.4,"Baja",IF(AC190&lt;=0.6,"Media",IF(AC190&lt;=0.8,"Alta","Muy Alta"))))),"")</f>
        <v>Muy Baja</v>
      </c>
      <c r="AE190" s="462">
        <f t="shared" ref="AE190:AE213" si="71">+AC190</f>
        <v>4.3199999999999995E-2</v>
      </c>
      <c r="AF190" s="461" t="str">
        <f t="shared" ref="AF190:AF213" si="72">IFERROR(IF(AG190="","",IF(AG190&lt;=0.2,"Leve",IF(AG190&lt;=0.4,"Menor",IF(AG190&lt;=0.6,"Moderado",IF(AG190&lt;=0.8,"Mayor","Catastrófico"))))),"")</f>
        <v>Mayor</v>
      </c>
      <c r="AG190" s="462">
        <f>IFERROR(IF(AND(V189="Impacto",V190="Impacto"),(AG189-(+AG189*Y190)),IF(AND(V189="Probabilidad",V190="Impacto"),(AG188-(+AG188*Y190)),IF(V190="Probabilidad",AG189,""))),"")</f>
        <v>0.8</v>
      </c>
      <c r="AH190" s="463" t="str">
        <f t="shared" ref="AH190:AH213" si="73">IFERROR(IF(OR(AND(AD190="Muy Baja",AF190="Leve"),AND(AD190="Muy Baja",AF190="Menor"),AND(AD190="Baja",AF190="Leve")),"Bajo",IF(OR(AND(AD190="Muy baja",AF190="Moderado"),AND(AD190="Baja",AF190="Menor"),AND(AD190="Baja",AF190="Moderado"),AND(AD190="Media",AF190="Leve"),AND(AD190="Media",AF190="Menor"),AND(AD190="Media",AF190="Moderado"),AND(AD190="Alta",AF190="Leve"),AND(AD190="Alta",AF190="Menor")),"Moderado",IF(OR(AND(AD190="Muy Baja",AF190="Mayor"),AND(AD190="Baja",AF190="Mayor"),AND(AD190="Media",AF190="Mayor"),AND(AD190="Alta",AF190="Moderado"),AND(AD190="Alta",AF190="Mayor"),AND(AD190="Muy Alta",AF190="Leve"),AND(AD190="Muy Alta",AF190="Menor"),AND(AD190="Muy Alta",AF190="Moderado"),AND(AD190="Muy Alta",AF190="Mayor")),"Alto",IF(OR(AND(AD190="Muy Baja",AF190="Catastrófico"),AND(AD190="Baja",AF190="Catastrófico"),AND(AD190="Media",AF190="Catastrófico"),AND(AD190="Alta",AF190="Catastrófico"),AND(AD190="Muy Alta",AF190="Catastrófico")),"Extremo","")))),"")</f>
        <v>Alto</v>
      </c>
      <c r="AI190" s="464" t="s">
        <v>192</v>
      </c>
      <c r="AJ190" s="465"/>
      <c r="AK190" s="209"/>
      <c r="AL190" s="465"/>
      <c r="AM190" s="466"/>
      <c r="AN190" s="468"/>
    </row>
    <row r="191" spans="1:40" ht="409.5" x14ac:dyDescent="0.2">
      <c r="A191" s="469">
        <v>87</v>
      </c>
      <c r="B191" s="469" t="s">
        <v>821</v>
      </c>
      <c r="C191" s="470" t="s">
        <v>811</v>
      </c>
      <c r="D191" s="447" t="str">
        <f>IFERROR(INDEX('Base de datos gestión'!$D$28:$D$50,MATCH(C191,'Base de datos gestión'!$C$28:$C$50,0)), 0)</f>
        <v>Administrar de manera eficiente el talento humano al servicio del INM, mediante la realización de actividades de ingreso, desarrollo y retiro de personal para cada vigencia, que involucren la totalidad de los servidores públicos, garantizando la idoneidad y competencia, y fortaleciendo el clima y la cultura laboral.
El proceso se relaciona con el objetivo estratégico: Fortalecer la capacidad administrativa y de desempeño institucional para garantizar la eficiencia y calidad a los procesos de la entidad.</v>
      </c>
      <c r="E191" s="447" t="str">
        <f>IFERROR(INDEX('Base de datos gestión'!$E$28:$E$50,MATCH(C191,'Base de datos gestión'!$C$28:$C$50,0)), 0)</f>
        <v>Inicia con la selección del personal y termina con la desvinculación de los funcionarios y atención a los requerimientos posteriores a la desvinculación. Incluye todas las actividades de desarrollo laboral relacionadas con situaciones administrativas, ejecución de los planes de gestión de talento humano y las actividades del Sistema de Seguridad y Salud en el Trabajo.</v>
      </c>
      <c r="F191" s="501" t="s">
        <v>234</v>
      </c>
      <c r="G191" s="475" t="s">
        <v>822</v>
      </c>
      <c r="H191" s="474" t="s">
        <v>823</v>
      </c>
      <c r="I191" s="474" t="s">
        <v>824</v>
      </c>
      <c r="J191" s="481" t="s">
        <v>238</v>
      </c>
      <c r="K191" s="476" t="s">
        <v>258</v>
      </c>
      <c r="L191" s="476">
        <v>24</v>
      </c>
      <c r="M191" s="450" t="str">
        <f t="shared" si="66"/>
        <v>Baja</v>
      </c>
      <c r="N191" s="451">
        <f t="shared" si="65"/>
        <v>0.4</v>
      </c>
      <c r="O191" s="452" t="s">
        <v>214</v>
      </c>
      <c r="P191" s="451" t="str">
        <f>IF(NOT(ISERROR(MATCH(O191,'Tabla Impacto'!$B$222:$B$224,0))),'Tabla Impacto'!$F$224&amp;"Por favor no seleccionar los criterios de impacto(Afectación Económica o presupuestal y Pérdida Reputacional)",O191)</f>
        <v xml:space="preserve">     El riesgo afecta la imagen de la entidad con algunos usuarios de relevancia frente al logro de los objetivos</v>
      </c>
      <c r="Q191" s="453" t="str">
        <f>IF(OR(P191='[1]Tabla Impacto'!$C$12,P191='[1]Tabla Impacto'!$D$12),"Leve",IF(OR(P191='[1]Tabla Impacto'!$C$13,P191='[1]Tabla Impacto'!$D$13),"Menor",IF(OR(P191='[1]Tabla Impacto'!$C$14,P191='[1]Tabla Impacto'!$D$14),"Moderado",IF(OR(P191='[1]Tabla Impacto'!$C$15,P191='[1]Tabla Impacto'!$D$15),"Mayor",IF(OR(P191='[1]Tabla Impacto'!$C$16,P191='[1]Tabla Impacto'!$D$16),"Catastrófico","")))))</f>
        <v>Moderado</v>
      </c>
      <c r="R191" s="452">
        <f t="shared" si="67"/>
        <v>0.6</v>
      </c>
      <c r="S191" s="454" t="str">
        <f t="shared" si="68"/>
        <v>Moderado</v>
      </c>
      <c r="T191" s="457">
        <v>1</v>
      </c>
      <c r="U191" s="477" t="s">
        <v>825</v>
      </c>
      <c r="V191" s="457" t="str">
        <f t="shared" si="64"/>
        <v>Probabilidad</v>
      </c>
      <c r="W191" s="458" t="s">
        <v>187</v>
      </c>
      <c r="X191" s="458" t="s">
        <v>188</v>
      </c>
      <c r="Y191" s="459" t="str">
        <f t="shared" si="69"/>
        <v>40%</v>
      </c>
      <c r="Z191" s="458" t="s">
        <v>222</v>
      </c>
      <c r="AA191" s="458" t="s">
        <v>190</v>
      </c>
      <c r="AB191" s="458" t="s">
        <v>191</v>
      </c>
      <c r="AC191" s="460">
        <f>IFERROR(IF(AND(V190="Probabilidad",V191="Probabilidad"),(AE190-(+AE190*Y191)),IF(AND(V190="Impacto",V191="Probabilidad"),(AE189-(+AE189*Y191)),IF(V191="Impacto",AE190,""))),"")</f>
        <v>2.5919999999999995E-2</v>
      </c>
      <c r="AD191" s="461" t="str">
        <f t="shared" si="70"/>
        <v>Muy Baja</v>
      </c>
      <c r="AE191" s="462">
        <f t="shared" si="71"/>
        <v>2.5919999999999995E-2</v>
      </c>
      <c r="AF191" s="461" t="str">
        <f t="shared" si="72"/>
        <v>Mayor</v>
      </c>
      <c r="AG191" s="462">
        <f>IFERROR(IF(AND(V190="Impacto",V191="Impacto"),(AG190-(+AG190*Y191)),IF(AND(V190="Probabilidad",V191="Impacto"),(AG189-(+AG189*Y191)),IF(V191="Probabilidad",AG190,""))),"")</f>
        <v>0.8</v>
      </c>
      <c r="AH191" s="463" t="str">
        <f t="shared" si="73"/>
        <v>Alto</v>
      </c>
      <c r="AI191" s="464" t="s">
        <v>192</v>
      </c>
      <c r="AJ191" s="465"/>
      <c r="AK191" s="209"/>
      <c r="AL191" s="465"/>
      <c r="AM191" s="466"/>
      <c r="AN191" s="468"/>
    </row>
    <row r="192" spans="1:40" ht="409.5" x14ac:dyDescent="0.2">
      <c r="A192" s="469">
        <v>87</v>
      </c>
      <c r="B192" s="469" t="s">
        <v>821</v>
      </c>
      <c r="C192" s="470" t="s">
        <v>811</v>
      </c>
      <c r="D192" s="447" t="str">
        <f>IFERROR(INDEX('Base de datos gestión'!$D$28:$D$50,MATCH(C192,'Base de datos gestión'!$C$28:$C$50,0)), 0)</f>
        <v>Administrar de manera eficiente el talento humano al servicio del INM, mediante la realización de actividades de ingreso, desarrollo y retiro de personal para cada vigencia, que involucren la totalidad de los servidores públicos, garantizando la idoneidad y competencia, y fortaleciendo el clima y la cultura laboral.
El proceso se relaciona con el objetivo estratégico: Fortalecer la capacidad administrativa y de desempeño institucional para garantizar la eficiencia y calidad a los procesos de la entidad.</v>
      </c>
      <c r="E192" s="447" t="str">
        <f>IFERROR(INDEX('Base de datos gestión'!$E$28:$E$50,MATCH(C192,'Base de datos gestión'!$C$28:$C$50,0)), 0)</f>
        <v>Inicia con la selección del personal y termina con la desvinculación de los funcionarios y atención a los requerimientos posteriores a la desvinculación. Incluye todas las actividades de desarrollo laboral relacionadas con situaciones administrativas, ejecución de los planes de gestión de talento humano y las actividades del Sistema de Seguridad y Salud en el Trabajo.</v>
      </c>
      <c r="F192" s="474" t="s">
        <v>234</v>
      </c>
      <c r="G192" s="475" t="s">
        <v>822</v>
      </c>
      <c r="H192" s="474" t="s">
        <v>823</v>
      </c>
      <c r="I192" s="474" t="s">
        <v>824</v>
      </c>
      <c r="J192" s="481" t="s">
        <v>238</v>
      </c>
      <c r="K192" s="476" t="s">
        <v>258</v>
      </c>
      <c r="L192" s="476">
        <v>24</v>
      </c>
      <c r="M192" s="450" t="str">
        <f t="shared" si="66"/>
        <v>Baja</v>
      </c>
      <c r="N192" s="451">
        <f t="shared" si="65"/>
        <v>0.4</v>
      </c>
      <c r="O192" s="452" t="s">
        <v>214</v>
      </c>
      <c r="P192" s="451" t="str">
        <f>IF(NOT(ISERROR(MATCH(O192,'Tabla Impacto'!$B$222:$B$224,0))),'Tabla Impacto'!$F$224&amp;"Por favor no seleccionar los criterios de impacto(Afectación Económica o presupuestal y Pérdida Reputacional)",O192)</f>
        <v xml:space="preserve">     El riesgo afecta la imagen de la entidad con algunos usuarios de relevancia frente al logro de los objetivos</v>
      </c>
      <c r="Q192" s="453" t="str">
        <f>IF(OR(P192='[1]Tabla Impacto'!$C$12,P192='[1]Tabla Impacto'!$D$12),"Leve",IF(OR(P192='[1]Tabla Impacto'!$C$13,P192='[1]Tabla Impacto'!$D$13),"Menor",IF(OR(P192='[1]Tabla Impacto'!$C$14,P192='[1]Tabla Impacto'!$D$14),"Moderado",IF(OR(P192='[1]Tabla Impacto'!$C$15,P192='[1]Tabla Impacto'!$D$15),"Mayor",IF(OR(P192='[1]Tabla Impacto'!$C$16,P192='[1]Tabla Impacto'!$D$16),"Catastrófico","")))))</f>
        <v>Moderado</v>
      </c>
      <c r="R192" s="452">
        <f t="shared" si="67"/>
        <v>0.6</v>
      </c>
      <c r="S192" s="454" t="str">
        <f t="shared" si="68"/>
        <v>Moderado</v>
      </c>
      <c r="T192" s="457">
        <v>2</v>
      </c>
      <c r="U192" s="477" t="s">
        <v>826</v>
      </c>
      <c r="V192" s="457" t="str">
        <f t="shared" si="64"/>
        <v>Probabilidad</v>
      </c>
      <c r="W192" s="458" t="s">
        <v>187</v>
      </c>
      <c r="X192" s="458" t="s">
        <v>188</v>
      </c>
      <c r="Y192" s="459" t="str">
        <f t="shared" si="69"/>
        <v>40%</v>
      </c>
      <c r="Z192" s="458" t="s">
        <v>222</v>
      </c>
      <c r="AA192" s="458" t="s">
        <v>190</v>
      </c>
      <c r="AB192" s="458" t="s">
        <v>191</v>
      </c>
      <c r="AC192" s="460">
        <f>IFERROR(IF(AND(V191="Probabilidad",V192="Probabilidad"),(AE191-(+AE191*Y192)),IF(AND(V191="Impacto",V192="Probabilidad"),(AE190-(+AE190*Y192)),IF(V192="Impacto",AE191,""))),"")</f>
        <v>1.5551999999999996E-2</v>
      </c>
      <c r="AD192" s="461" t="str">
        <f t="shared" si="70"/>
        <v>Muy Baja</v>
      </c>
      <c r="AE192" s="462">
        <f t="shared" si="71"/>
        <v>1.5551999999999996E-2</v>
      </c>
      <c r="AF192" s="461" t="str">
        <f t="shared" si="72"/>
        <v>Mayor</v>
      </c>
      <c r="AG192" s="462">
        <f>IFERROR(IF(AND(V191="Impacto",V192="Impacto"),(AG191-(+AG191*Y192)),IF(AND(V191="Probabilidad",V192="Impacto"),(AG190-(+AG190*Y192)),IF(V192="Probabilidad",AG191,""))),"")</f>
        <v>0.8</v>
      </c>
      <c r="AH192" s="463" t="str">
        <f t="shared" si="73"/>
        <v>Alto</v>
      </c>
      <c r="AI192" s="464" t="s">
        <v>192</v>
      </c>
      <c r="AJ192" s="465"/>
      <c r="AK192" s="209"/>
      <c r="AL192" s="465"/>
      <c r="AM192" s="466"/>
      <c r="AN192" s="468"/>
    </row>
    <row r="193" spans="1:40" ht="409.5" x14ac:dyDescent="0.2">
      <c r="A193" s="478">
        <v>88</v>
      </c>
      <c r="B193" s="478" t="s">
        <v>827</v>
      </c>
      <c r="C193" s="479" t="s">
        <v>811</v>
      </c>
      <c r="D193" s="447" t="str">
        <f>IFERROR(INDEX('Base de datos gestión'!$D$28:$D$50,MATCH(C193,'Base de datos gestión'!$C$28:$C$50,0)), 0)</f>
        <v>Administrar de manera eficiente el talento humano al servicio del INM, mediante la realización de actividades de ingreso, desarrollo y retiro de personal para cada vigencia, que involucren la totalidad de los servidores públicos, garantizando la idoneidad y competencia, y fortaleciendo el clima y la cultura laboral.
El proceso se relaciona con el objetivo estratégico: Fortalecer la capacidad administrativa y de desempeño institucional para garantizar la eficiencia y calidad a los procesos de la entidad.</v>
      </c>
      <c r="E193" s="447" t="str">
        <f>IFERROR(INDEX('Base de datos gestión'!$E$28:$E$50,MATCH(C193,'Base de datos gestión'!$C$28:$C$50,0)), 0)</f>
        <v>Inicia con la selección del personal y termina con la desvinculación de los funcionarios y atención a los requerimientos posteriores a la desvinculación. Incluye todas las actividades de desarrollo laboral relacionadas con situaciones administrativas, ejecución de los planes de gestión de talento humano y las actividades del Sistema de Seguridad y Salud en el Trabajo.</v>
      </c>
      <c r="F193" s="474" t="s">
        <v>234</v>
      </c>
      <c r="G193" s="475" t="s">
        <v>828</v>
      </c>
      <c r="H193" s="474" t="s">
        <v>829</v>
      </c>
      <c r="I193" s="474" t="s">
        <v>830</v>
      </c>
      <c r="J193" s="481" t="s">
        <v>182</v>
      </c>
      <c r="K193" s="476" t="s">
        <v>380</v>
      </c>
      <c r="L193" s="476">
        <v>501</v>
      </c>
      <c r="M193" s="450" t="str">
        <f t="shared" si="66"/>
        <v>Alta</v>
      </c>
      <c r="N193" s="451">
        <f t="shared" si="65"/>
        <v>0.8</v>
      </c>
      <c r="O193" s="452" t="s">
        <v>831</v>
      </c>
      <c r="P193" s="451" t="str">
        <f>IF(NOT(ISERROR(MATCH(O193,'Tabla Impacto'!$B$222:$B$224,0))),'Tabla Impacto'!$F$224&amp;"Por favor no seleccionar los criterios de impacto(Afectación Económica o presupuestal y Pérdida Reputacional)",O193)</f>
        <v xml:space="preserve">     Mayor a 500 SMLMV </v>
      </c>
      <c r="Q193" s="453" t="str">
        <f>IF(OR(P193='[1]Tabla Impacto'!$C$12,P193='[1]Tabla Impacto'!$D$12),"Leve",IF(OR(P193='[1]Tabla Impacto'!$C$13,P193='[1]Tabla Impacto'!$D$13),"Menor",IF(OR(P193='[1]Tabla Impacto'!$C$14,P193='[1]Tabla Impacto'!$D$14),"Moderado",IF(OR(P193='[1]Tabla Impacto'!$C$15,P193='[1]Tabla Impacto'!$D$15),"Mayor",IF(OR(P193='[1]Tabla Impacto'!$C$16,P193='[1]Tabla Impacto'!$D$16),"Catastrófico","")))))</f>
        <v>Catastrófico</v>
      </c>
      <c r="R193" s="452">
        <f t="shared" si="67"/>
        <v>1</v>
      </c>
      <c r="S193" s="454" t="str">
        <f t="shared" si="68"/>
        <v>Extremo</v>
      </c>
      <c r="T193" s="457">
        <v>1</v>
      </c>
      <c r="U193" s="572" t="s">
        <v>832</v>
      </c>
      <c r="V193" s="457" t="str">
        <f t="shared" si="64"/>
        <v>Probabilidad</v>
      </c>
      <c r="W193" s="458" t="s">
        <v>187</v>
      </c>
      <c r="X193" s="458" t="s">
        <v>188</v>
      </c>
      <c r="Y193" s="459" t="str">
        <f t="shared" si="69"/>
        <v>40%</v>
      </c>
      <c r="Z193" s="458" t="s">
        <v>189</v>
      </c>
      <c r="AA193" s="458" t="s">
        <v>190</v>
      </c>
      <c r="AB193" s="458" t="s">
        <v>191</v>
      </c>
      <c r="AC193" s="460">
        <f>IFERROR(IF(AND(V192="Probabilidad",V193="Probabilidad"),(AE192-(+AE192*Y193)),IF(AND(V192="Impacto",V193="Probabilidad"),(AE191-(+AE191*Y193)),IF(V193="Impacto",AE192,""))),"")</f>
        <v>9.3311999999999978E-3</v>
      </c>
      <c r="AD193" s="461" t="str">
        <f t="shared" si="70"/>
        <v>Muy Baja</v>
      </c>
      <c r="AE193" s="462">
        <f t="shared" si="71"/>
        <v>9.3311999999999978E-3</v>
      </c>
      <c r="AF193" s="461" t="str">
        <f t="shared" si="72"/>
        <v>Mayor</v>
      </c>
      <c r="AG193" s="462">
        <f>IFERROR(IF(AND(V192="Impacto",V193="Impacto"),(AG192-(+AG192*Y193)),IF(AND(V192="Probabilidad",V193="Impacto"),(AG191-(+AG191*Y193)),IF(V193="Probabilidad",AG192,""))),"")</f>
        <v>0.8</v>
      </c>
      <c r="AH193" s="463" t="str">
        <f t="shared" si="73"/>
        <v>Alto</v>
      </c>
      <c r="AI193" s="464" t="s">
        <v>192</v>
      </c>
      <c r="AJ193" s="465"/>
      <c r="AK193" s="209"/>
      <c r="AL193" s="502"/>
      <c r="AM193" s="503"/>
      <c r="AN193" s="468"/>
    </row>
    <row r="194" spans="1:40" ht="409.5" x14ac:dyDescent="0.2">
      <c r="A194" s="446">
        <v>88</v>
      </c>
      <c r="B194" s="446" t="s">
        <v>827</v>
      </c>
      <c r="C194" s="447" t="s">
        <v>811</v>
      </c>
      <c r="D194" s="447" t="str">
        <f>IFERROR(INDEX('Base de datos gestión'!$D$28:$D$50,MATCH(C194,'Base de datos gestión'!$C$28:$C$50,0)), 0)</f>
        <v>Administrar de manera eficiente el talento humano al servicio del INM, mediante la realización de actividades de ingreso, desarrollo y retiro de personal para cada vigencia, que involucren la totalidad de los servidores públicos, garantizando la idoneidad y competencia, y fortaleciendo el clima y la cultura laboral.
El proceso se relaciona con el objetivo estratégico: Fortalecer la capacidad administrativa y de desempeño institucional para garantizar la eficiencia y calidad a los procesos de la entidad.</v>
      </c>
      <c r="E194" s="447" t="str">
        <f>IFERROR(INDEX('Base de datos gestión'!$E$28:$E$50,MATCH(C194,'Base de datos gestión'!$C$28:$C$50,0)), 0)</f>
        <v>Inicia con la selección del personal y termina con la desvinculación de los funcionarios y atención a los requerimientos posteriores a la desvinculación. Incluye todas las actividades de desarrollo laboral relacionadas con situaciones administrativas, ejecución de los planes de gestión de talento humano y las actividades del Sistema de Seguridad y Salud en el Trabajo.</v>
      </c>
      <c r="F194" s="474" t="s">
        <v>234</v>
      </c>
      <c r="G194" s="475" t="s">
        <v>828</v>
      </c>
      <c r="H194" s="474" t="s">
        <v>829</v>
      </c>
      <c r="I194" s="474" t="s">
        <v>830</v>
      </c>
      <c r="J194" s="481" t="s">
        <v>182</v>
      </c>
      <c r="K194" s="476" t="s">
        <v>380</v>
      </c>
      <c r="L194" s="476">
        <v>501</v>
      </c>
      <c r="M194" s="450" t="str">
        <f t="shared" si="66"/>
        <v>Alta</v>
      </c>
      <c r="N194" s="451">
        <f t="shared" si="65"/>
        <v>0.8</v>
      </c>
      <c r="O194" s="452" t="s">
        <v>831</v>
      </c>
      <c r="P194" s="451" t="str">
        <f>IF(NOT(ISERROR(MATCH(O194,'Tabla Impacto'!$B$222:$B$224,0))),'Tabla Impacto'!$F$224&amp;"Por favor no seleccionar los criterios de impacto(Afectación Económica o presupuestal y Pérdida Reputacional)",O194)</f>
        <v xml:space="preserve">     Mayor a 500 SMLMV </v>
      </c>
      <c r="Q194" s="453" t="str">
        <f>IF(OR(P194='[1]Tabla Impacto'!$C$12,P194='[1]Tabla Impacto'!$D$12),"Leve",IF(OR(P194='[1]Tabla Impacto'!$C$13,P194='[1]Tabla Impacto'!$D$13),"Menor",IF(OR(P194='[1]Tabla Impacto'!$C$14,P194='[1]Tabla Impacto'!$D$14),"Moderado",IF(OR(P194='[1]Tabla Impacto'!$C$15,P194='[1]Tabla Impacto'!$D$15),"Mayor",IF(OR(P194='[1]Tabla Impacto'!$C$16,P194='[1]Tabla Impacto'!$D$16),"Catastrófico","")))))</f>
        <v>Catastrófico</v>
      </c>
      <c r="R194" s="452">
        <f t="shared" si="67"/>
        <v>1</v>
      </c>
      <c r="S194" s="454" t="str">
        <f t="shared" si="68"/>
        <v>Extremo</v>
      </c>
      <c r="T194" s="457">
        <v>2</v>
      </c>
      <c r="U194" s="572" t="s">
        <v>834</v>
      </c>
      <c r="V194" s="457" t="str">
        <f t="shared" si="64"/>
        <v>Probabilidad</v>
      </c>
      <c r="W194" s="458" t="s">
        <v>187</v>
      </c>
      <c r="X194" s="458" t="s">
        <v>188</v>
      </c>
      <c r="Y194" s="459" t="str">
        <f t="shared" si="69"/>
        <v>40%</v>
      </c>
      <c r="Z194" s="458" t="s">
        <v>222</v>
      </c>
      <c r="AA194" s="458" t="s">
        <v>190</v>
      </c>
      <c r="AB194" s="458" t="s">
        <v>191</v>
      </c>
      <c r="AC194" s="460">
        <f>IFERROR(IF(V194="Probabilidad",(N194-(+N194*Y194)),IF(V194="Impacto",N194,"")),"")</f>
        <v>0.48</v>
      </c>
      <c r="AD194" s="461" t="str">
        <f t="shared" si="70"/>
        <v>Media</v>
      </c>
      <c r="AE194" s="462">
        <f t="shared" si="71"/>
        <v>0.48</v>
      </c>
      <c r="AF194" s="461" t="str">
        <f t="shared" si="72"/>
        <v>Catastrófico</v>
      </c>
      <c r="AG194" s="462">
        <f>IFERROR(IF(V194="Impacto",(R194-(+R194*Y194)),IF(V194="Probabilidad",R194,"")),"")</f>
        <v>1</v>
      </c>
      <c r="AH194" s="463" t="str">
        <f t="shared" si="73"/>
        <v>Extremo</v>
      </c>
      <c r="AI194" s="464" t="s">
        <v>192</v>
      </c>
      <c r="AJ194" s="465"/>
      <c r="AK194" s="209"/>
      <c r="AL194" s="502"/>
      <c r="AM194" s="503"/>
      <c r="AN194" s="468"/>
    </row>
    <row r="195" spans="1:40" ht="409.5" x14ac:dyDescent="0.2">
      <c r="A195" s="469">
        <v>88</v>
      </c>
      <c r="B195" s="469" t="s">
        <v>827</v>
      </c>
      <c r="C195" s="470" t="s">
        <v>811</v>
      </c>
      <c r="D195" s="447" t="str">
        <f>IFERROR(INDEX('Base de datos gestión'!$D$28:$D$50,MATCH(C194,'Base de datos gestión'!$C$28:$C$50,0)), 0)</f>
        <v>Administrar de manera eficiente el talento humano al servicio del INM, mediante la realización de actividades de ingreso, desarrollo y retiro de personal para cada vigencia, que involucren la totalidad de los servidores públicos, garantizando la idoneidad y competencia, y fortaleciendo el clima y la cultura laboral.
El proceso se relaciona con el objetivo estratégico: Fortalecer la capacidad administrativa y de desempeño institucional para garantizar la eficiencia y calidad a los procesos de la entidad.</v>
      </c>
      <c r="E195" s="447" t="str">
        <f>IFERROR(INDEX('Base de datos gestión'!$E$28:$E$50,MATCH(C194,'Base de datos gestión'!$C$28:$C$50,0)), 0)</f>
        <v>Inicia con la selección del personal y termina con la desvinculación de los funcionarios y atención a los requerimientos posteriores a la desvinculación. Incluye todas las actividades de desarrollo laboral relacionadas con situaciones administrativas, ejecución de los planes de gestión de talento humano y las actividades del Sistema de Seguridad y Salud en el Trabajo.</v>
      </c>
      <c r="F195" s="474" t="s">
        <v>234</v>
      </c>
      <c r="G195" s="475" t="s">
        <v>828</v>
      </c>
      <c r="H195" s="474" t="s">
        <v>829</v>
      </c>
      <c r="I195" s="474" t="s">
        <v>830</v>
      </c>
      <c r="J195" s="481" t="s">
        <v>182</v>
      </c>
      <c r="K195" s="476" t="s">
        <v>380</v>
      </c>
      <c r="L195" s="476">
        <v>501</v>
      </c>
      <c r="M195" s="450" t="str">
        <f t="shared" si="66"/>
        <v>Alta</v>
      </c>
      <c r="N195" s="451">
        <f t="shared" si="65"/>
        <v>0.8</v>
      </c>
      <c r="O195" s="452" t="s">
        <v>831</v>
      </c>
      <c r="P195" s="451" t="str">
        <f>IF(NOT(ISERROR(MATCH(O195,'Tabla Impacto'!$B$222:$B$224,0))),'Tabla Impacto'!$F$224&amp;"Por favor no seleccionar los criterios de impacto(Afectación Económica o presupuestal y Pérdida Reputacional)",O195)</f>
        <v xml:space="preserve">     Mayor a 500 SMLMV </v>
      </c>
      <c r="Q195" s="453" t="str">
        <f>IF(OR(P195='[1]Tabla Impacto'!$C$12,P195='[1]Tabla Impacto'!$D$12),"Leve",IF(OR(P195='[1]Tabla Impacto'!$C$13,P195='[1]Tabla Impacto'!$D$13),"Menor",IF(OR(P195='[1]Tabla Impacto'!$C$14,P195='[1]Tabla Impacto'!$D$14),"Moderado",IF(OR(P195='[1]Tabla Impacto'!$C$15,P195='[1]Tabla Impacto'!$D$15),"Mayor",IF(OR(P195='[1]Tabla Impacto'!$C$16,P195='[1]Tabla Impacto'!$D$16),"Catastrófico","")))))</f>
        <v>Catastrófico</v>
      </c>
      <c r="R195" s="452">
        <f t="shared" si="67"/>
        <v>1</v>
      </c>
      <c r="S195" s="454" t="str">
        <f t="shared" si="68"/>
        <v>Extremo</v>
      </c>
      <c r="T195" s="457">
        <v>3</v>
      </c>
      <c r="U195" s="572" t="s">
        <v>835</v>
      </c>
      <c r="V195" s="457" t="str">
        <f t="shared" si="64"/>
        <v>Probabilidad</v>
      </c>
      <c r="W195" s="458" t="s">
        <v>187</v>
      </c>
      <c r="X195" s="458" t="s">
        <v>188</v>
      </c>
      <c r="Y195" s="459" t="str">
        <f t="shared" si="69"/>
        <v>40%</v>
      </c>
      <c r="Z195" s="458" t="s">
        <v>222</v>
      </c>
      <c r="AA195" s="458" t="s">
        <v>190</v>
      </c>
      <c r="AB195" s="458" t="s">
        <v>191</v>
      </c>
      <c r="AC195" s="460">
        <f>IFERROR(IF(AND(V194="Probabilidad",V195="Probabilidad"),(AE194-(+AE194*Y195)),IF(V195="Probabilidad",(N194-(+N194*Y195)),IF(V195="Impacto",AE194,""))),"")</f>
        <v>0.28799999999999998</v>
      </c>
      <c r="AD195" s="461" t="str">
        <f t="shared" si="70"/>
        <v>Baja</v>
      </c>
      <c r="AE195" s="462">
        <f t="shared" si="71"/>
        <v>0.28799999999999998</v>
      </c>
      <c r="AF195" s="461" t="str">
        <f t="shared" si="72"/>
        <v>Leve</v>
      </c>
      <c r="AG195" s="462">
        <f>IFERROR(IF(AND(V194="Impacto",V195="Impacto"),(AG188-(+AG188*Y195)),IF(V195="Impacto",($R$50-(+$R$50*Y195)),IF(V195="Probabilidad",AG188,""))),"")</f>
        <v>0.2</v>
      </c>
      <c r="AH195" s="463" t="str">
        <f t="shared" si="73"/>
        <v>Bajo</v>
      </c>
      <c r="AI195" s="464" t="s">
        <v>192</v>
      </c>
      <c r="AJ195" s="465"/>
      <c r="AK195" s="209"/>
      <c r="AL195" s="502"/>
      <c r="AM195" s="503"/>
      <c r="AN195" s="468"/>
    </row>
    <row r="196" spans="1:40" ht="409.5" x14ac:dyDescent="0.2">
      <c r="A196" s="469">
        <v>88</v>
      </c>
      <c r="B196" s="469" t="s">
        <v>827</v>
      </c>
      <c r="C196" s="470" t="s">
        <v>811</v>
      </c>
      <c r="D196" s="447" t="str">
        <f>IFERROR(INDEX('Base de datos gestión'!$D$28:$D$50,MATCH(C195,'Base de datos gestión'!$C$28:$C$50,0)), 0)</f>
        <v>Administrar de manera eficiente el talento humano al servicio del INM, mediante la realización de actividades de ingreso, desarrollo y retiro de personal para cada vigencia, que involucren la totalidad de los servidores públicos, garantizando la idoneidad y competencia, y fortaleciendo el clima y la cultura laboral.
El proceso se relaciona con el objetivo estratégico: Fortalecer la capacidad administrativa y de desempeño institucional para garantizar la eficiencia y calidad a los procesos de la entidad.</v>
      </c>
      <c r="E196" s="447" t="str">
        <f>IFERROR(INDEX('Base de datos gestión'!$E$28:$E$50,MATCH(C195,'Base de datos gestión'!$C$28:$C$50,0)), 0)</f>
        <v>Inicia con la selección del personal y termina con la desvinculación de los funcionarios y atención a los requerimientos posteriores a la desvinculación. Incluye todas las actividades de desarrollo laboral relacionadas con situaciones administrativas, ejecución de los planes de gestión de talento humano y las actividades del Sistema de Seguridad y Salud en el Trabajo.</v>
      </c>
      <c r="F196" s="474" t="s">
        <v>234</v>
      </c>
      <c r="G196" s="475" t="s">
        <v>828</v>
      </c>
      <c r="H196" s="474" t="s">
        <v>829</v>
      </c>
      <c r="I196" s="474" t="s">
        <v>830</v>
      </c>
      <c r="J196" s="481" t="s">
        <v>182</v>
      </c>
      <c r="K196" s="476" t="s">
        <v>380</v>
      </c>
      <c r="L196" s="476">
        <v>501</v>
      </c>
      <c r="M196" s="450" t="str">
        <f t="shared" si="66"/>
        <v>Alta</v>
      </c>
      <c r="N196" s="451">
        <f t="shared" si="65"/>
        <v>0.8</v>
      </c>
      <c r="O196" s="452" t="s">
        <v>831</v>
      </c>
      <c r="P196" s="451" t="str">
        <f>IF(NOT(ISERROR(MATCH(O196,'Tabla Impacto'!$B$222:$B$224,0))),'Tabla Impacto'!$F$224&amp;"Por favor no seleccionar los criterios de impacto(Afectación Económica o presupuestal y Pérdida Reputacional)",O196)</f>
        <v xml:space="preserve">     Mayor a 500 SMLMV </v>
      </c>
      <c r="Q196" s="453" t="str">
        <f>IF(OR(P196='[1]Tabla Impacto'!$C$12,P196='[1]Tabla Impacto'!$D$12),"Leve",IF(OR(P196='[1]Tabla Impacto'!$C$13,P196='[1]Tabla Impacto'!$D$13),"Menor",IF(OR(P196='[1]Tabla Impacto'!$C$14,P196='[1]Tabla Impacto'!$D$14),"Moderado",IF(OR(P196='[1]Tabla Impacto'!$C$15,P196='[1]Tabla Impacto'!$D$15),"Mayor",IF(OR(P196='[1]Tabla Impacto'!$C$16,P196='[1]Tabla Impacto'!$D$16),"Catastrófico","")))))</f>
        <v>Catastrófico</v>
      </c>
      <c r="R196" s="452">
        <f t="shared" si="67"/>
        <v>1</v>
      </c>
      <c r="S196" s="454" t="str">
        <f t="shared" si="68"/>
        <v>Extremo</v>
      </c>
      <c r="T196" s="457">
        <v>4</v>
      </c>
      <c r="U196" s="597" t="s">
        <v>836</v>
      </c>
      <c r="V196" s="457" t="str">
        <f t="shared" si="64"/>
        <v>Probabilidad</v>
      </c>
      <c r="W196" s="458" t="s">
        <v>187</v>
      </c>
      <c r="X196" s="458" t="s">
        <v>188</v>
      </c>
      <c r="Y196" s="459" t="str">
        <f t="shared" si="69"/>
        <v>40%</v>
      </c>
      <c r="Z196" s="458" t="s">
        <v>222</v>
      </c>
      <c r="AA196" s="458" t="s">
        <v>202</v>
      </c>
      <c r="AB196" s="458" t="s">
        <v>191</v>
      </c>
      <c r="AC196" s="460">
        <f>IFERROR(IF(AND(V195="Probabilidad",V196="Probabilidad"),(AE195-(+AE195*Y196)),IF(AND(V195="Impacto",V196="Probabilidad"),(AE194-(+AE194*Y196)),IF(V196="Impacto",AE195,""))),"")</f>
        <v>0.17279999999999998</v>
      </c>
      <c r="AD196" s="461" t="str">
        <f t="shared" si="70"/>
        <v>Muy Baja</v>
      </c>
      <c r="AE196" s="462">
        <f t="shared" si="71"/>
        <v>0.17279999999999998</v>
      </c>
      <c r="AF196" s="461" t="str">
        <f t="shared" si="72"/>
        <v>Leve</v>
      </c>
      <c r="AG196" s="462">
        <f>IFERROR(IF(AND(V195="Impacto",V196="Impacto"),(AG195-(+AG195*Y196)),IF(AND(V195="Probabilidad",V196="Impacto"),(AG194-(+AG194*Y196)),IF(V196="Probabilidad",AG195,""))),"")</f>
        <v>0.2</v>
      </c>
      <c r="AH196" s="463" t="str">
        <f t="shared" si="73"/>
        <v>Bajo</v>
      </c>
      <c r="AI196" s="464" t="s">
        <v>192</v>
      </c>
      <c r="AJ196" s="465"/>
      <c r="AK196" s="209"/>
      <c r="AL196" s="502"/>
      <c r="AM196" s="503"/>
      <c r="AN196" s="468"/>
    </row>
    <row r="197" spans="1:40" ht="409.5" x14ac:dyDescent="0.2">
      <c r="A197" s="469">
        <v>88</v>
      </c>
      <c r="B197" s="469" t="s">
        <v>827</v>
      </c>
      <c r="C197" s="470" t="s">
        <v>811</v>
      </c>
      <c r="D197" s="447" t="str">
        <f>IFERROR(INDEX('Base de datos gestión'!$D$28:$D$50,MATCH(C196,'Base de datos gestión'!$C$28:$C$50,0)), 0)</f>
        <v>Administrar de manera eficiente el talento humano al servicio del INM, mediante la realización de actividades de ingreso, desarrollo y retiro de personal para cada vigencia, que involucren la totalidad de los servidores públicos, garantizando la idoneidad y competencia, y fortaleciendo el clima y la cultura laboral.
El proceso se relaciona con el objetivo estratégico: Fortalecer la capacidad administrativa y de desempeño institucional para garantizar la eficiencia y calidad a los procesos de la entidad.</v>
      </c>
      <c r="E197" s="447" t="str">
        <f>IFERROR(INDEX('Base de datos gestión'!$E$28:$E$50,MATCH(C196,'Base de datos gestión'!$C$28:$C$50,0)), 0)</f>
        <v>Inicia con la selección del personal y termina con la desvinculación de los funcionarios y atención a los requerimientos posteriores a la desvinculación. Incluye todas las actividades de desarrollo laboral relacionadas con situaciones administrativas, ejecución de los planes de gestión de talento humano y las actividades del Sistema de Seguridad y Salud en el Trabajo.</v>
      </c>
      <c r="F197" s="474" t="s">
        <v>234</v>
      </c>
      <c r="G197" s="475" t="s">
        <v>828</v>
      </c>
      <c r="H197" s="474" t="s">
        <v>829</v>
      </c>
      <c r="I197" s="474" t="s">
        <v>830</v>
      </c>
      <c r="J197" s="481" t="s">
        <v>182</v>
      </c>
      <c r="K197" s="476" t="s">
        <v>380</v>
      </c>
      <c r="L197" s="476">
        <v>501</v>
      </c>
      <c r="M197" s="450" t="str">
        <f t="shared" si="66"/>
        <v>Alta</v>
      </c>
      <c r="N197" s="451">
        <f t="shared" si="65"/>
        <v>0.8</v>
      </c>
      <c r="O197" s="452" t="s">
        <v>831</v>
      </c>
      <c r="P197" s="451" t="str">
        <f>IF(NOT(ISERROR(MATCH(O197,'Tabla Impacto'!$B$222:$B$224,0))),'Tabla Impacto'!$F$224&amp;"Por favor no seleccionar los criterios de impacto(Afectación Económica o presupuestal y Pérdida Reputacional)",O197)</f>
        <v xml:space="preserve">     Mayor a 500 SMLMV </v>
      </c>
      <c r="Q197" s="453" t="str">
        <f>IF(OR(P197='[1]Tabla Impacto'!$C$12,P197='[1]Tabla Impacto'!$D$12),"Leve",IF(OR(P197='[1]Tabla Impacto'!$C$13,P197='[1]Tabla Impacto'!$D$13),"Menor",IF(OR(P197='[1]Tabla Impacto'!$C$14,P197='[1]Tabla Impacto'!$D$14),"Moderado",IF(OR(P197='[1]Tabla Impacto'!$C$15,P197='[1]Tabla Impacto'!$D$15),"Mayor",IF(OR(P197='[1]Tabla Impacto'!$C$16,P197='[1]Tabla Impacto'!$D$16),"Catastrófico","")))))</f>
        <v>Catastrófico</v>
      </c>
      <c r="R197" s="452">
        <f t="shared" si="67"/>
        <v>1</v>
      </c>
      <c r="S197" s="454" t="str">
        <f t="shared" si="68"/>
        <v>Extremo</v>
      </c>
      <c r="T197" s="457">
        <v>5</v>
      </c>
      <c r="U197" s="597" t="s">
        <v>837</v>
      </c>
      <c r="V197" s="457" t="str">
        <f t="shared" si="64"/>
        <v>Probabilidad</v>
      </c>
      <c r="W197" s="458" t="s">
        <v>187</v>
      </c>
      <c r="X197" s="458" t="s">
        <v>188</v>
      </c>
      <c r="Y197" s="459" t="str">
        <f t="shared" si="69"/>
        <v>40%</v>
      </c>
      <c r="Z197" s="458" t="s">
        <v>222</v>
      </c>
      <c r="AA197" s="458" t="s">
        <v>190</v>
      </c>
      <c r="AB197" s="458" t="s">
        <v>191</v>
      </c>
      <c r="AC197" s="460">
        <f>IFERROR(IF(AND(V196="Probabilidad",V197="Probabilidad"),(AE196-(+AE196*Y197)),IF(AND(V196="Impacto",V197="Probabilidad"),(AE195-(+AE195*Y197)),IF(V197="Impacto",AE196,""))),"")</f>
        <v>0.10367999999999998</v>
      </c>
      <c r="AD197" s="461" t="str">
        <f t="shared" si="70"/>
        <v>Muy Baja</v>
      </c>
      <c r="AE197" s="462">
        <f t="shared" si="71"/>
        <v>0.10367999999999998</v>
      </c>
      <c r="AF197" s="461" t="str">
        <f t="shared" si="72"/>
        <v>Leve</v>
      </c>
      <c r="AG197" s="462">
        <f>IFERROR(IF(AND(V196="Impacto",V197="Impacto"),(AG196-(+AG196*Y197)),IF(AND(V196="Probabilidad",V197="Impacto"),(AG195-(+AG195*Y197)),IF(V197="Probabilidad",AG196,""))),"")</f>
        <v>0.2</v>
      </c>
      <c r="AH197" s="463" t="str">
        <f t="shared" si="73"/>
        <v>Bajo</v>
      </c>
      <c r="AI197" s="464" t="s">
        <v>192</v>
      </c>
      <c r="AJ197" s="465" t="s">
        <v>487</v>
      </c>
      <c r="AK197" s="465" t="s">
        <v>487</v>
      </c>
      <c r="AL197" s="502" t="s">
        <v>833</v>
      </c>
      <c r="AM197" s="503">
        <v>46017</v>
      </c>
      <c r="AN197" s="635" t="s">
        <v>838</v>
      </c>
    </row>
    <row r="198" spans="1:40" ht="409.5" x14ac:dyDescent="0.2">
      <c r="A198" s="469">
        <v>88</v>
      </c>
      <c r="B198" s="469" t="s">
        <v>827</v>
      </c>
      <c r="C198" s="470" t="s">
        <v>811</v>
      </c>
      <c r="D198" s="447" t="str">
        <f>IFERROR(INDEX('Base de datos gestión'!$D$28:$D$50,MATCH(C197,'Base de datos gestión'!$C$28:$C$50,0)), 0)</f>
        <v>Administrar de manera eficiente el talento humano al servicio del INM, mediante la realización de actividades de ingreso, desarrollo y retiro de personal para cada vigencia, que involucren la totalidad de los servidores públicos, garantizando la idoneidad y competencia, y fortaleciendo el clima y la cultura laboral.
El proceso se relaciona con el objetivo estratégico: Fortalecer la capacidad administrativa y de desempeño institucional para garantizar la eficiencia y calidad a los procesos de la entidad.</v>
      </c>
      <c r="E198" s="447" t="str">
        <f>IFERROR(INDEX('Base de datos gestión'!$E$28:$E$50,MATCH(C197,'Base de datos gestión'!$C$28:$C$50,0)), 0)</f>
        <v>Inicia con la selección del personal y termina con la desvinculación de los funcionarios y atención a los requerimientos posteriores a la desvinculación. Incluye todas las actividades de desarrollo laboral relacionadas con situaciones administrativas, ejecución de los planes de gestión de talento humano y las actividades del Sistema de Seguridad y Salud en el Trabajo.</v>
      </c>
      <c r="F198" s="474" t="s">
        <v>234</v>
      </c>
      <c r="G198" s="475" t="s">
        <v>828</v>
      </c>
      <c r="H198" s="474" t="s">
        <v>829</v>
      </c>
      <c r="I198" s="474" t="s">
        <v>830</v>
      </c>
      <c r="J198" s="481" t="s">
        <v>182</v>
      </c>
      <c r="K198" s="476" t="s">
        <v>380</v>
      </c>
      <c r="L198" s="476">
        <v>501</v>
      </c>
      <c r="M198" s="450" t="str">
        <f t="shared" si="66"/>
        <v>Alta</v>
      </c>
      <c r="N198" s="451">
        <f t="shared" si="65"/>
        <v>0.8</v>
      </c>
      <c r="O198" s="452" t="s">
        <v>831</v>
      </c>
      <c r="P198" s="451" t="str">
        <f>IF(NOT(ISERROR(MATCH(O198,'Tabla Impacto'!$B$222:$B$224,0))),'Tabla Impacto'!$F$224&amp;"Por favor no seleccionar los criterios de impacto(Afectación Económica o presupuestal y Pérdida Reputacional)",O198)</f>
        <v xml:space="preserve">     Mayor a 500 SMLMV </v>
      </c>
      <c r="Q198" s="453" t="str">
        <f>IF(OR(P198='[1]Tabla Impacto'!$C$12,P198='[1]Tabla Impacto'!$D$12),"Leve",IF(OR(P198='[1]Tabla Impacto'!$C$13,P198='[1]Tabla Impacto'!$D$13),"Menor",IF(OR(P198='[1]Tabla Impacto'!$C$14,P198='[1]Tabla Impacto'!$D$14),"Moderado",IF(OR(P198='[1]Tabla Impacto'!$C$15,P198='[1]Tabla Impacto'!$D$15),"Mayor",IF(OR(P198='[1]Tabla Impacto'!$C$16,P198='[1]Tabla Impacto'!$D$16),"Catastrófico","")))))</f>
        <v>Catastrófico</v>
      </c>
      <c r="R198" s="452">
        <f t="shared" si="67"/>
        <v>1</v>
      </c>
      <c r="S198" s="454" t="str">
        <f t="shared" si="68"/>
        <v>Extremo</v>
      </c>
      <c r="T198" s="457">
        <v>6</v>
      </c>
      <c r="U198" s="597" t="s">
        <v>839</v>
      </c>
      <c r="V198" s="457" t="str">
        <f t="shared" si="64"/>
        <v>Probabilidad</v>
      </c>
      <c r="W198" s="458" t="s">
        <v>187</v>
      </c>
      <c r="X198" s="458" t="s">
        <v>188</v>
      </c>
      <c r="Y198" s="459" t="str">
        <f t="shared" si="69"/>
        <v>40%</v>
      </c>
      <c r="Z198" s="458" t="s">
        <v>222</v>
      </c>
      <c r="AA198" s="458" t="s">
        <v>190</v>
      </c>
      <c r="AB198" s="458" t="s">
        <v>191</v>
      </c>
      <c r="AC198" s="460">
        <f>IFERROR(IF(AND(V197="Probabilidad",V198="Probabilidad"),(AE197-(+AE197*Y198)),IF(AND(V197="Impacto",V198="Probabilidad"),(AE196-(+AE196*Y198)),IF(V198="Impacto",AE197,""))),"")</f>
        <v>6.2207999999999986E-2</v>
      </c>
      <c r="AD198" s="461" t="str">
        <f t="shared" si="70"/>
        <v>Muy Baja</v>
      </c>
      <c r="AE198" s="462">
        <f t="shared" si="71"/>
        <v>6.2207999999999986E-2</v>
      </c>
      <c r="AF198" s="461" t="str">
        <f t="shared" si="72"/>
        <v>Leve</v>
      </c>
      <c r="AG198" s="462">
        <f>IFERROR(IF(AND(V197="Impacto",V198="Impacto"),(AG197-(+AG197*Y198)),IF(AND(V197="Probabilidad",V198="Impacto"),(AG196-(+AG196*Y198)),IF(V198="Probabilidad",AG197,""))),"")</f>
        <v>0.2</v>
      </c>
      <c r="AH198" s="463" t="str">
        <f t="shared" si="73"/>
        <v>Bajo</v>
      </c>
      <c r="AI198" s="464" t="s">
        <v>192</v>
      </c>
      <c r="AJ198" s="465" t="s">
        <v>489</v>
      </c>
      <c r="AK198" s="465" t="s">
        <v>489</v>
      </c>
      <c r="AL198" s="502" t="s">
        <v>833</v>
      </c>
      <c r="AM198" s="503">
        <v>46017</v>
      </c>
      <c r="AN198" s="636"/>
    </row>
    <row r="199" spans="1:40" ht="409.5" x14ac:dyDescent="0.2">
      <c r="A199" s="478">
        <v>88</v>
      </c>
      <c r="B199" s="478" t="s">
        <v>827</v>
      </c>
      <c r="C199" s="479" t="s">
        <v>811</v>
      </c>
      <c r="D199" s="447" t="str">
        <f>IFERROR(INDEX('Base de datos gestión'!$D$28:$D$50,MATCH(C198,'Base de datos gestión'!$C$28:$C$50,0)), 0)</f>
        <v>Administrar de manera eficiente el talento humano al servicio del INM, mediante la realización de actividades de ingreso, desarrollo y retiro de personal para cada vigencia, que involucren la totalidad de los servidores públicos, garantizando la idoneidad y competencia, y fortaleciendo el clima y la cultura laboral.
El proceso se relaciona con el objetivo estratégico: Fortalecer la capacidad administrativa y de desempeño institucional para garantizar la eficiencia y calidad a los procesos de la entidad.</v>
      </c>
      <c r="E199" s="447" t="str">
        <f>IFERROR(INDEX('Base de datos gestión'!$E$28:$E$50,MATCH(C198,'Base de datos gestión'!$C$28:$C$50,0)), 0)</f>
        <v>Inicia con la selección del personal y termina con la desvinculación de los funcionarios y atención a los requerimientos posteriores a la desvinculación. Incluye todas las actividades de desarrollo laboral relacionadas con situaciones administrativas, ejecución de los planes de gestión de talento humano y las actividades del Sistema de Seguridad y Salud en el Trabajo.</v>
      </c>
      <c r="F199" s="474" t="s">
        <v>234</v>
      </c>
      <c r="G199" s="475" t="s">
        <v>828</v>
      </c>
      <c r="H199" s="474" t="s">
        <v>829</v>
      </c>
      <c r="I199" s="474" t="s">
        <v>830</v>
      </c>
      <c r="J199" s="481" t="s">
        <v>182</v>
      </c>
      <c r="K199" s="476" t="s">
        <v>380</v>
      </c>
      <c r="L199" s="476">
        <v>501</v>
      </c>
      <c r="M199" s="450" t="str">
        <f t="shared" si="66"/>
        <v>Alta</v>
      </c>
      <c r="N199" s="451">
        <f t="shared" si="65"/>
        <v>0.8</v>
      </c>
      <c r="O199" s="452" t="s">
        <v>831</v>
      </c>
      <c r="P199" s="451" t="str">
        <f>IF(NOT(ISERROR(MATCH(O199,'Tabla Impacto'!$B$222:$B$224,0))),'Tabla Impacto'!$F$224&amp;"Por favor no seleccionar los criterios de impacto(Afectación Económica o presupuestal y Pérdida Reputacional)",O199)</f>
        <v xml:space="preserve">     Mayor a 500 SMLMV </v>
      </c>
      <c r="Q199" s="453" t="str">
        <f>IF(OR(P199='[1]Tabla Impacto'!$C$12,P199='[1]Tabla Impacto'!$D$12),"Leve",IF(OR(P199='[1]Tabla Impacto'!$C$13,P199='[1]Tabla Impacto'!$D$13),"Menor",IF(OR(P199='[1]Tabla Impacto'!$C$14,P199='[1]Tabla Impacto'!$D$14),"Moderado",IF(OR(P199='[1]Tabla Impacto'!$C$15,P199='[1]Tabla Impacto'!$D$15),"Mayor",IF(OR(P199='[1]Tabla Impacto'!$C$16,P199='[1]Tabla Impacto'!$D$16),"Catastrófico","")))))</f>
        <v>Catastrófico</v>
      </c>
      <c r="R199" s="452">
        <f t="shared" si="67"/>
        <v>1</v>
      </c>
      <c r="S199" s="454" t="str">
        <f t="shared" si="68"/>
        <v>Extremo</v>
      </c>
      <c r="T199" s="457">
        <v>7</v>
      </c>
      <c r="U199" s="477" t="s">
        <v>840</v>
      </c>
      <c r="V199" s="457" t="str">
        <f t="shared" si="64"/>
        <v>Probabilidad</v>
      </c>
      <c r="W199" s="458" t="s">
        <v>187</v>
      </c>
      <c r="X199" s="458" t="s">
        <v>188</v>
      </c>
      <c r="Y199" s="459" t="str">
        <f t="shared" si="69"/>
        <v>40%</v>
      </c>
      <c r="Z199" s="458" t="s">
        <v>222</v>
      </c>
      <c r="AA199" s="458" t="s">
        <v>190</v>
      </c>
      <c r="AB199" s="458" t="s">
        <v>191</v>
      </c>
      <c r="AC199" s="460">
        <f>IFERROR(IF(AND(V198="Probabilidad",V199="Probabilidad"),(AE198-(+AE198*Y199)),IF(AND(V198="Impacto",V199="Probabilidad"),(AE197-(+AE197*Y199)),IF(V199="Impacto",AE198,""))),"")</f>
        <v>3.7324799999999991E-2</v>
      </c>
      <c r="AD199" s="461" t="str">
        <f t="shared" si="70"/>
        <v>Muy Baja</v>
      </c>
      <c r="AE199" s="462">
        <f t="shared" si="71"/>
        <v>3.7324799999999991E-2</v>
      </c>
      <c r="AF199" s="461" t="str">
        <f t="shared" si="72"/>
        <v>Leve</v>
      </c>
      <c r="AG199" s="462">
        <f>IFERROR(IF(AND(V198="Impacto",V199="Impacto"),(AG198-(+AG198*Y199)),IF(AND(V198="Probabilidad",V199="Impacto"),(AG197-(+AG197*Y199)),IF(V199="Probabilidad",AG198,""))),"")</f>
        <v>0.2</v>
      </c>
      <c r="AH199" s="463" t="str">
        <f t="shared" si="73"/>
        <v>Bajo</v>
      </c>
      <c r="AI199" s="464" t="s">
        <v>192</v>
      </c>
      <c r="AJ199" s="465"/>
      <c r="AK199" s="465" t="s">
        <v>491</v>
      </c>
      <c r="AL199" s="502"/>
      <c r="AM199" s="503"/>
      <c r="AN199" s="468"/>
    </row>
    <row r="200" spans="1:40" ht="409.5" x14ac:dyDescent="0.2">
      <c r="A200" s="446">
        <v>89</v>
      </c>
      <c r="B200" s="446" t="s">
        <v>841</v>
      </c>
      <c r="C200" s="447" t="s">
        <v>842</v>
      </c>
      <c r="D200" s="447" t="str">
        <f>IFERROR(INDEX('Base de datos gestión'!$D$28:$D$50,MATCH(C199,'Base de datos gestión'!$C$28:$C$50,0)), 0)</f>
        <v>Administrar de manera eficiente el talento humano al servicio del INM, mediante la realización de actividades de ingreso, desarrollo y retiro de personal para cada vigencia, que involucren la totalidad de los servidores públicos, garantizando la idoneidad y competencia, y fortaleciendo el clima y la cultura laboral.
El proceso se relaciona con el objetivo estratégico: Fortalecer la capacidad administrativa y de desempeño institucional para garantizar la eficiencia y calidad a los procesos de la entidad.</v>
      </c>
      <c r="E200" s="447" t="str">
        <f>IFERROR(INDEX('Base de datos gestión'!$E$28:$E$50,MATCH(C199,'Base de datos gestión'!$C$28:$C$50,0)), 0)</f>
        <v>Inicia con la selección del personal y termina con la desvinculación de los funcionarios y atención a los requerimientos posteriores a la desvinculación. Incluye todas las actividades de desarrollo laboral relacionadas con situaciones administrativas, ejecución de los planes de gestión de talento humano y las actividades del Sistema de Seguridad y Salud en el Trabajo.</v>
      </c>
      <c r="F200" s="474" t="s">
        <v>234</v>
      </c>
      <c r="G200" s="475" t="s">
        <v>843</v>
      </c>
      <c r="H200" s="474" t="s">
        <v>844</v>
      </c>
      <c r="I200" s="474" t="s">
        <v>845</v>
      </c>
      <c r="J200" s="476" t="s">
        <v>408</v>
      </c>
      <c r="K200" s="476" t="s">
        <v>183</v>
      </c>
      <c r="L200" s="476">
        <v>2</v>
      </c>
      <c r="M200" s="450" t="str">
        <f t="shared" si="66"/>
        <v>Muy Baja</v>
      </c>
      <c r="N200" s="451">
        <f t="shared" si="65"/>
        <v>0.2</v>
      </c>
      <c r="O200" s="452" t="s">
        <v>214</v>
      </c>
      <c r="P200" s="451" t="str">
        <f>IF(NOT(ISERROR(MATCH(O200,'Tabla Impacto'!$B$222:$B$224,0))),'Tabla Impacto'!$F$224&amp;"Por favor no seleccionar los criterios de impacto(Afectación Económica o presupuestal y Pérdida Reputacional)",O200)</f>
        <v xml:space="preserve">     El riesgo afecta la imagen de la entidad con algunos usuarios de relevancia frente al logro de los objetivos</v>
      </c>
      <c r="Q200" s="453" t="str">
        <f>IF(OR(P200='[1]Tabla Impacto'!$C$12,P200='[1]Tabla Impacto'!$D$12),"Leve",IF(OR(P200='[1]Tabla Impacto'!$C$13,P200='[1]Tabla Impacto'!$D$13),"Menor",IF(OR(P200='[1]Tabla Impacto'!$C$14,P200='[1]Tabla Impacto'!$D$14),"Moderado",IF(OR(P200='[1]Tabla Impacto'!$C$15,P200='[1]Tabla Impacto'!$D$15),"Mayor",IF(OR(P200='[1]Tabla Impacto'!$C$16,P200='[1]Tabla Impacto'!$D$16),"Catastrófico","")))))</f>
        <v>Moderado</v>
      </c>
      <c r="R200" s="452">
        <f t="shared" si="67"/>
        <v>0.6</v>
      </c>
      <c r="S200" s="454" t="str">
        <f t="shared" si="68"/>
        <v>Moderado</v>
      </c>
      <c r="T200" s="457">
        <v>1</v>
      </c>
      <c r="U200" s="477" t="s">
        <v>846</v>
      </c>
      <c r="V200" s="457" t="str">
        <f t="shared" si="64"/>
        <v>Probabilidad</v>
      </c>
      <c r="W200" s="458" t="s">
        <v>187</v>
      </c>
      <c r="X200" s="458" t="s">
        <v>188</v>
      </c>
      <c r="Y200" s="459" t="str">
        <f t="shared" si="69"/>
        <v>40%</v>
      </c>
      <c r="Z200" s="458" t="s">
        <v>222</v>
      </c>
      <c r="AA200" s="458" t="s">
        <v>190</v>
      </c>
      <c r="AB200" s="458" t="s">
        <v>191</v>
      </c>
      <c r="AC200" s="460">
        <f>IFERROR(IF(V200="Probabilidad",(N200-(+N200*Y200)),IF(V200="Impacto",N200,"")),"")</f>
        <v>0.12</v>
      </c>
      <c r="AD200" s="461" t="str">
        <f t="shared" si="70"/>
        <v>Muy Baja</v>
      </c>
      <c r="AE200" s="462">
        <f t="shared" si="71"/>
        <v>0.12</v>
      </c>
      <c r="AF200" s="461" t="str">
        <f t="shared" si="72"/>
        <v>Moderado</v>
      </c>
      <c r="AG200" s="462">
        <f>IFERROR(IF(V200="Impacto",(R200-(+R200*Y200)),IF(V200="Probabilidad",R200,"")),"")</f>
        <v>0.6</v>
      </c>
      <c r="AH200" s="463" t="str">
        <f t="shared" si="73"/>
        <v>Moderado</v>
      </c>
      <c r="AI200" s="464" t="s">
        <v>192</v>
      </c>
      <c r="AJ200" s="465" t="s">
        <v>491</v>
      </c>
      <c r="AK200" s="491" t="s">
        <v>493</v>
      </c>
      <c r="AL200" s="465"/>
      <c r="AM200" s="466"/>
      <c r="AN200" s="468"/>
    </row>
    <row r="201" spans="1:40" ht="409.5" x14ac:dyDescent="0.2">
      <c r="A201" s="469">
        <v>89</v>
      </c>
      <c r="B201" s="469" t="s">
        <v>841</v>
      </c>
      <c r="C201" s="470" t="s">
        <v>842</v>
      </c>
      <c r="D201" s="447" t="str">
        <f>IFERROR(INDEX('Base de datos gestión'!$D$28:$D$50,MATCH(C200,'Base de datos gestión'!$C$28:$C$50,0)), 0)</f>
        <v>Gestionar los servicios administrativos, los bienes y el mantenimiento de equipos eléctricos, planta física y climatización, elaborando y gestionando la programación para cada vigencia y controlando la ejecución de las actividades relacionadas con la administración de los servicios generales y de apoyo logístico interno, los servicios de comercio exterior y actividades del Plan de Gestión Ambiental requeridos para el correcto funcionamiento del INM.
El proceso se relaciona con el objetivo estratégico: Fortalecer la capacidad administrativa y de desempeño institucional para garantizar la eficiencia y calidad a los procesos de la entidad.</v>
      </c>
      <c r="E201" s="447" t="str">
        <f>IFERROR(INDEX('Base de datos gestión'!$E$28:$E$50,MATCH(C200,'Base de datos gestión'!$C$28:$C$50,0)), 0)</f>
        <v>Inicia con los requerimientos institucionales y termina con la atención de las necesidades presentadas por las diferentes áreas del INM.</v>
      </c>
      <c r="F201" s="474" t="s">
        <v>234</v>
      </c>
      <c r="G201" s="475" t="s">
        <v>843</v>
      </c>
      <c r="H201" s="474" t="s">
        <v>844</v>
      </c>
      <c r="I201" s="474" t="s">
        <v>845</v>
      </c>
      <c r="J201" s="476" t="s">
        <v>408</v>
      </c>
      <c r="K201" s="476" t="s">
        <v>183</v>
      </c>
      <c r="L201" s="476">
        <v>2</v>
      </c>
      <c r="M201" s="450" t="str">
        <f t="shared" si="66"/>
        <v>Muy Baja</v>
      </c>
      <c r="N201" s="451">
        <f t="shared" si="65"/>
        <v>0.2</v>
      </c>
      <c r="O201" s="452" t="s">
        <v>214</v>
      </c>
      <c r="P201" s="451" t="str">
        <f>IF(NOT(ISERROR(MATCH(O201,'Tabla Impacto'!$B$222:$B$224,0))),'Tabla Impacto'!$F$224&amp;"Por favor no seleccionar los criterios de impacto(Afectación Económica o presupuestal y Pérdida Reputacional)",O201)</f>
        <v xml:space="preserve">     El riesgo afecta la imagen de la entidad con algunos usuarios de relevancia frente al logro de los objetivos</v>
      </c>
      <c r="Q201" s="453" t="str">
        <f>IF(OR(P201='[1]Tabla Impacto'!$C$12,P201='[1]Tabla Impacto'!$D$12),"Leve",IF(OR(P201='[1]Tabla Impacto'!$C$13,P201='[1]Tabla Impacto'!$D$13),"Menor",IF(OR(P201='[1]Tabla Impacto'!$C$14,P201='[1]Tabla Impacto'!$D$14),"Moderado",IF(OR(P201='[1]Tabla Impacto'!$C$15,P201='[1]Tabla Impacto'!$D$15),"Mayor",IF(OR(P201='[1]Tabla Impacto'!$C$16,P201='[1]Tabla Impacto'!$D$16),"Catastrófico","")))))</f>
        <v>Moderado</v>
      </c>
      <c r="R201" s="452">
        <f t="shared" si="67"/>
        <v>0.6</v>
      </c>
      <c r="S201" s="454" t="str">
        <f t="shared" si="68"/>
        <v>Moderado</v>
      </c>
      <c r="T201" s="457">
        <v>2</v>
      </c>
      <c r="U201" s="477" t="s">
        <v>847</v>
      </c>
      <c r="V201" s="457" t="str">
        <f t="shared" si="64"/>
        <v>Probabilidad</v>
      </c>
      <c r="W201" s="458" t="s">
        <v>228</v>
      </c>
      <c r="X201" s="458" t="s">
        <v>188</v>
      </c>
      <c r="Y201" s="459" t="str">
        <f t="shared" si="69"/>
        <v>30%</v>
      </c>
      <c r="Z201" s="458" t="s">
        <v>222</v>
      </c>
      <c r="AA201" s="458" t="s">
        <v>190</v>
      </c>
      <c r="AB201" s="458" t="s">
        <v>191</v>
      </c>
      <c r="AC201" s="460">
        <f>IFERROR(IF(AND(V200="Probabilidad",V201="Probabilidad"),(AE200-(+AE200*Y201)),IF(V201="Probabilidad",(N200-(+N200*Y201)),IF(V201="Impacto",AE200,""))),"")</f>
        <v>8.3999999999999991E-2</v>
      </c>
      <c r="AD201" s="461" t="str">
        <f t="shared" si="70"/>
        <v>Muy Baja</v>
      </c>
      <c r="AE201" s="462">
        <f t="shared" si="71"/>
        <v>8.3999999999999991E-2</v>
      </c>
      <c r="AF201" s="461" t="str">
        <f t="shared" si="72"/>
        <v>Catastrófico</v>
      </c>
      <c r="AG201" s="462">
        <f>IFERROR(IF(AND(V200="Impacto",V201="Impacto"),(AG194-(+AG194*Y201)),IF(V201="Impacto",($R$56-(+$R$56*Y201)),IF(V201="Probabilidad",AG194,""))),"")</f>
        <v>1</v>
      </c>
      <c r="AH201" s="463" t="str">
        <f t="shared" si="73"/>
        <v>Extremo</v>
      </c>
      <c r="AI201" s="464" t="s">
        <v>192</v>
      </c>
      <c r="AJ201" s="465"/>
      <c r="AK201" s="491" t="s">
        <v>493</v>
      </c>
      <c r="AL201" s="465"/>
      <c r="AM201" s="466"/>
      <c r="AN201" s="468"/>
    </row>
    <row r="202" spans="1:40" ht="409.5" x14ac:dyDescent="0.2">
      <c r="A202" s="469">
        <v>90</v>
      </c>
      <c r="B202" s="469" t="s">
        <v>848</v>
      </c>
      <c r="C202" s="470" t="s">
        <v>842</v>
      </c>
      <c r="D202" s="447" t="str">
        <f>IFERROR(INDEX('Base de datos gestión'!$D$28:$D$50,MATCH(C201,'Base de datos gestión'!$C$28:$C$50,0)), 0)</f>
        <v>Gestionar los servicios administrativos, los bienes y el mantenimiento de equipos eléctricos, planta física y climatización, elaborando y gestionando la programación para cada vigencia y controlando la ejecución de las actividades relacionadas con la administración de los servicios generales y de apoyo logístico interno, los servicios de comercio exterior y actividades del Plan de Gestión Ambiental requeridos para el correcto funcionamiento del INM.
El proceso se relaciona con el objetivo estratégico: Fortalecer la capacidad administrativa y de desempeño institucional para garantizar la eficiencia y calidad a los procesos de la entidad.</v>
      </c>
      <c r="E202" s="447" t="str">
        <f>IFERROR(INDEX('Base de datos gestión'!$E$28:$E$50,MATCH(C201,'Base de datos gestión'!$C$28:$C$50,0)), 0)</f>
        <v>Inicia con los requerimientos institucionales y termina con la atención de las necesidades presentadas por las diferentes áreas del INM.</v>
      </c>
      <c r="F202" s="474" t="s">
        <v>234</v>
      </c>
      <c r="G202" s="477" t="s">
        <v>849</v>
      </c>
      <c r="H202" s="477" t="s">
        <v>850</v>
      </c>
      <c r="I202" s="477" t="s">
        <v>851</v>
      </c>
      <c r="J202" s="481" t="s">
        <v>238</v>
      </c>
      <c r="K202" s="476" t="s">
        <v>258</v>
      </c>
      <c r="L202" s="476">
        <v>120</v>
      </c>
      <c r="M202" s="450" t="str">
        <f t="shared" si="66"/>
        <v>Media</v>
      </c>
      <c r="N202" s="451">
        <f t="shared" si="65"/>
        <v>0.6</v>
      </c>
      <c r="O202" s="452" t="s">
        <v>332</v>
      </c>
      <c r="P202" s="451" t="str">
        <f>IF(NOT(ISERROR(MATCH(O202,'Tabla Impacto'!$B$222:$B$224,0))),'Tabla Impacto'!$F$224&amp;"Por favor no seleccionar los criterios de impacto(Afectación Económica o presupuestal y Pérdida Reputacional)",O202)</f>
        <v xml:space="preserve">     El riesgo afecta la imagen de alguna área de la organización</v>
      </c>
      <c r="Q202" s="453" t="str">
        <f>IF(OR(P202='[1]Tabla Impacto'!$C$12,P202='[1]Tabla Impacto'!$D$12),"Leve",IF(OR(P202='[1]Tabla Impacto'!$C$13,P202='[1]Tabla Impacto'!$D$13),"Menor",IF(OR(P202='[1]Tabla Impacto'!$C$14,P202='[1]Tabla Impacto'!$D$14),"Moderado",IF(OR(P202='[1]Tabla Impacto'!$C$15,P202='[1]Tabla Impacto'!$D$15),"Mayor",IF(OR(P202='[1]Tabla Impacto'!$C$16,P202='[1]Tabla Impacto'!$D$16),"Catastrófico","")))))</f>
        <v>Leve</v>
      </c>
      <c r="R202" s="452">
        <f t="shared" si="67"/>
        <v>0.2</v>
      </c>
      <c r="S202" s="454" t="str">
        <f t="shared" si="68"/>
        <v>Moderado</v>
      </c>
      <c r="T202" s="457">
        <v>1</v>
      </c>
      <c r="U202" s="477" t="s">
        <v>852</v>
      </c>
      <c r="V202" s="457" t="str">
        <f t="shared" si="64"/>
        <v>Probabilidad</v>
      </c>
      <c r="W202" s="458" t="s">
        <v>187</v>
      </c>
      <c r="X202" s="504" t="s">
        <v>188</v>
      </c>
      <c r="Y202" s="459" t="str">
        <f t="shared" si="69"/>
        <v>40%</v>
      </c>
      <c r="Z202" s="505" t="s">
        <v>222</v>
      </c>
      <c r="AA202" s="458" t="s">
        <v>190</v>
      </c>
      <c r="AB202" s="505" t="s">
        <v>191</v>
      </c>
      <c r="AC202" s="460">
        <f>IFERROR(IF(AND(V201="Probabilidad",V202="Probabilidad"),(AE201-(+AE201*Y202)),IF(AND(V201="Impacto",V202="Probabilidad"),(AE200-(+AE200*Y202)),IF(V202="Impacto",AE201,""))),"")</f>
        <v>5.0399999999999993E-2</v>
      </c>
      <c r="AD202" s="461" t="str">
        <f t="shared" si="70"/>
        <v>Muy Baja</v>
      </c>
      <c r="AE202" s="462">
        <f t="shared" si="71"/>
        <v>5.0399999999999993E-2</v>
      </c>
      <c r="AF202" s="461" t="str">
        <f t="shared" si="72"/>
        <v>Catastrófico</v>
      </c>
      <c r="AG202" s="462">
        <f>IFERROR(IF(AND(V201="Impacto",V202="Impacto"),(AG201-(+AG201*Y202)),IF(AND(V201="Probabilidad",V202="Impacto"),(AG200-(+AG200*Y202)),IF(V202="Probabilidad",AG201,""))),"")</f>
        <v>1</v>
      </c>
      <c r="AH202" s="463" t="str">
        <f t="shared" si="73"/>
        <v>Extremo</v>
      </c>
      <c r="AI202" s="464" t="s">
        <v>192</v>
      </c>
      <c r="AJ202" s="465"/>
      <c r="AK202" s="465" t="s">
        <v>496</v>
      </c>
      <c r="AL202" s="465"/>
      <c r="AM202" s="466"/>
      <c r="AN202" s="468"/>
    </row>
    <row r="203" spans="1:40" ht="409.5" x14ac:dyDescent="0.2">
      <c r="A203" s="469">
        <v>91</v>
      </c>
      <c r="B203" s="469" t="s">
        <v>853</v>
      </c>
      <c r="C203" s="470" t="s">
        <v>842</v>
      </c>
      <c r="D203" s="447" t="str">
        <f>IFERROR(INDEX('Base de datos gestión'!$D$28:$D$50,MATCH(C202,'Base de datos gestión'!$C$28:$C$50,0)), 0)</f>
        <v>Gestionar los servicios administrativos, los bienes y el mantenimiento de equipos eléctricos, planta física y climatización, elaborando y gestionando la programación para cada vigencia y controlando la ejecución de las actividades relacionadas con la administración de los servicios generales y de apoyo logístico interno, los servicios de comercio exterior y actividades del Plan de Gestión Ambiental requeridos para el correcto funcionamiento del INM.
El proceso se relaciona con el objetivo estratégico: Fortalecer la capacidad administrativa y de desempeño institucional para garantizar la eficiencia y calidad a los procesos de la entidad.</v>
      </c>
      <c r="E203" s="447" t="str">
        <f>IFERROR(INDEX('Base de datos gestión'!$E$28:$E$50,MATCH(C202,'Base de datos gestión'!$C$28:$C$50,0)), 0)</f>
        <v>Inicia con los requerimientos institucionales y termina con la atención de las necesidades presentadas por las diferentes áreas del INM.</v>
      </c>
      <c r="F203" s="474" t="s">
        <v>234</v>
      </c>
      <c r="G203" s="477" t="s">
        <v>854</v>
      </c>
      <c r="H203" s="477" t="s">
        <v>855</v>
      </c>
      <c r="I203" s="477" t="s">
        <v>856</v>
      </c>
      <c r="J203" s="481" t="s">
        <v>182</v>
      </c>
      <c r="K203" s="476" t="s">
        <v>183</v>
      </c>
      <c r="L203" s="476">
        <v>12</v>
      </c>
      <c r="M203" s="450" t="str">
        <f t="shared" si="66"/>
        <v>Baja</v>
      </c>
      <c r="N203" s="451">
        <f t="shared" si="65"/>
        <v>0.4</v>
      </c>
      <c r="O203" s="452" t="s">
        <v>239</v>
      </c>
      <c r="P203" s="451" t="str">
        <f>IF(NOT(ISERROR(MATCH(O203,'Tabla Impacto'!$B$222:$B$224,0))),'Tabla Impacto'!$F$224&amp;"Por favor no seleccionar los criterios de impacto(Afectación Económica o presupuestal y Pérdida Reputacional)",O203)</f>
        <v xml:space="preserve">     El riesgo afecta la imagen de de la entidad con efecto publicitario sostenido a nivel de sector administrativo, nivel departamental o municipal</v>
      </c>
      <c r="Q203" s="453" t="str">
        <f>IF(OR(P203='[1]Tabla Impacto'!$C$12,P203='[1]Tabla Impacto'!$D$12),"Leve",IF(OR(P203='[1]Tabla Impacto'!$C$13,P203='[1]Tabla Impacto'!$D$13),"Menor",IF(OR(P203='[1]Tabla Impacto'!$C$14,P203='[1]Tabla Impacto'!$D$14),"Moderado",IF(OR(P203='[1]Tabla Impacto'!$C$15,P203='[1]Tabla Impacto'!$D$15),"Mayor",IF(OR(P203='[1]Tabla Impacto'!$C$16,P203='[1]Tabla Impacto'!$D$16),"Catastrófico","")))))</f>
        <v>Mayor</v>
      </c>
      <c r="R203" s="452">
        <f t="shared" si="67"/>
        <v>0.8</v>
      </c>
      <c r="S203" s="454" t="str">
        <f t="shared" si="68"/>
        <v>Alto</v>
      </c>
      <c r="T203" s="457">
        <v>1</v>
      </c>
      <c r="U203" s="506" t="s">
        <v>857</v>
      </c>
      <c r="V203" s="457" t="str">
        <f t="shared" si="64"/>
        <v>Probabilidad</v>
      </c>
      <c r="W203" s="458" t="s">
        <v>187</v>
      </c>
      <c r="X203" s="458" t="s">
        <v>188</v>
      </c>
      <c r="Y203" s="459" t="str">
        <f t="shared" si="69"/>
        <v>40%</v>
      </c>
      <c r="Z203" s="458" t="s">
        <v>222</v>
      </c>
      <c r="AA203" s="458" t="s">
        <v>190</v>
      </c>
      <c r="AB203" s="458" t="s">
        <v>191</v>
      </c>
      <c r="AC203" s="460">
        <f>IFERROR(IF(AND(V202="Probabilidad",V203="Probabilidad"),(AE202-(+AE202*Y203)),IF(AND(V202="Impacto",V203="Probabilidad"),(AE201-(+AE201*Y203)),IF(V203="Impacto",AE202,""))),"")</f>
        <v>3.0239999999999996E-2</v>
      </c>
      <c r="AD203" s="461" t="str">
        <f t="shared" si="70"/>
        <v>Muy Baja</v>
      </c>
      <c r="AE203" s="462">
        <f t="shared" si="71"/>
        <v>3.0239999999999996E-2</v>
      </c>
      <c r="AF203" s="461" t="str">
        <f t="shared" si="72"/>
        <v>Catastrófico</v>
      </c>
      <c r="AG203" s="462">
        <f>IFERROR(IF(AND(V202="Impacto",V203="Impacto"),(AG202-(+AG202*Y203)),IF(AND(V202="Probabilidad",V203="Impacto"),(AG201-(+AG201*Y203)),IF(V203="Probabilidad",AG202,""))),"")</f>
        <v>1</v>
      </c>
      <c r="AH203" s="463" t="str">
        <f t="shared" si="73"/>
        <v>Extremo</v>
      </c>
      <c r="AI203" s="464" t="s">
        <v>192</v>
      </c>
      <c r="AJ203" s="491" t="s">
        <v>493</v>
      </c>
      <c r="AK203" s="491" t="s">
        <v>493</v>
      </c>
      <c r="AL203" s="465" t="s">
        <v>858</v>
      </c>
      <c r="AM203" s="466" t="s">
        <v>859</v>
      </c>
      <c r="AN203" s="637" t="s">
        <v>860</v>
      </c>
    </row>
    <row r="204" spans="1:40" ht="409.5" x14ac:dyDescent="0.2">
      <c r="A204" s="469">
        <v>91</v>
      </c>
      <c r="B204" s="469" t="s">
        <v>853</v>
      </c>
      <c r="C204" s="470" t="s">
        <v>842</v>
      </c>
      <c r="D204" s="447" t="str">
        <f>IFERROR(INDEX('Base de datos gestión'!$D$28:$D$50,MATCH(C203,'Base de datos gestión'!$C$28:$C$50,0)), 0)</f>
        <v>Gestionar los servicios administrativos, los bienes y el mantenimiento de equipos eléctricos, planta física y climatización, elaborando y gestionando la programación para cada vigencia y controlando la ejecución de las actividades relacionadas con la administración de los servicios generales y de apoyo logístico interno, los servicios de comercio exterior y actividades del Plan de Gestión Ambiental requeridos para el correcto funcionamiento del INM.
El proceso se relaciona con el objetivo estratégico: Fortalecer la capacidad administrativa y de desempeño institucional para garantizar la eficiencia y calidad a los procesos de la entidad.</v>
      </c>
      <c r="E204" s="447" t="str">
        <f>IFERROR(INDEX('Base de datos gestión'!$E$28:$E$50,MATCH(C203,'Base de datos gestión'!$C$28:$C$50,0)), 0)</f>
        <v>Inicia con los requerimientos institucionales y termina con la atención de las necesidades presentadas por las diferentes áreas del INM.</v>
      </c>
      <c r="F204" s="474" t="s">
        <v>234</v>
      </c>
      <c r="G204" s="477" t="s">
        <v>854</v>
      </c>
      <c r="H204" s="477" t="s">
        <v>855</v>
      </c>
      <c r="I204" s="477" t="s">
        <v>856</v>
      </c>
      <c r="J204" s="481" t="s">
        <v>182</v>
      </c>
      <c r="K204" s="476" t="s">
        <v>183</v>
      </c>
      <c r="L204" s="476">
        <v>12</v>
      </c>
      <c r="M204" s="450" t="str">
        <f t="shared" si="66"/>
        <v>Baja</v>
      </c>
      <c r="N204" s="451">
        <f t="shared" si="65"/>
        <v>0.4</v>
      </c>
      <c r="O204" s="452" t="s">
        <v>239</v>
      </c>
      <c r="P204" s="451" t="str">
        <f>IF(NOT(ISERROR(MATCH(O204,'Tabla Impacto'!$B$222:$B$224,0))),'Tabla Impacto'!$F$224&amp;"Por favor no seleccionar los criterios de impacto(Afectación Económica o presupuestal y Pérdida Reputacional)",O204)</f>
        <v xml:space="preserve">     El riesgo afecta la imagen de de la entidad con efecto publicitario sostenido a nivel de sector administrativo, nivel departamental o municipal</v>
      </c>
      <c r="Q204" s="453" t="str">
        <f>IF(OR(P204='[1]Tabla Impacto'!$C$12,P204='[1]Tabla Impacto'!$D$12),"Leve",IF(OR(P204='[1]Tabla Impacto'!$C$13,P204='[1]Tabla Impacto'!$D$13),"Menor",IF(OR(P204='[1]Tabla Impacto'!$C$14,P204='[1]Tabla Impacto'!$D$14),"Moderado",IF(OR(P204='[1]Tabla Impacto'!$C$15,P204='[1]Tabla Impacto'!$D$15),"Mayor",IF(OR(P204='[1]Tabla Impacto'!$C$16,P204='[1]Tabla Impacto'!$D$16),"Catastrófico","")))))</f>
        <v>Mayor</v>
      </c>
      <c r="R204" s="452">
        <f t="shared" si="67"/>
        <v>0.8</v>
      </c>
      <c r="S204" s="454" t="str">
        <f t="shared" si="68"/>
        <v>Alto</v>
      </c>
      <c r="T204" s="457">
        <v>2</v>
      </c>
      <c r="U204" s="506" t="s">
        <v>861</v>
      </c>
      <c r="V204" s="457" t="str">
        <f t="shared" si="64"/>
        <v>Probabilidad</v>
      </c>
      <c r="W204" s="458" t="s">
        <v>228</v>
      </c>
      <c r="X204" s="458" t="s">
        <v>188</v>
      </c>
      <c r="Y204" s="459" t="str">
        <f t="shared" si="69"/>
        <v>30%</v>
      </c>
      <c r="Z204" s="458" t="s">
        <v>222</v>
      </c>
      <c r="AA204" s="458" t="s">
        <v>190</v>
      </c>
      <c r="AB204" s="458" t="s">
        <v>191</v>
      </c>
      <c r="AC204" s="460">
        <f>IFERROR(IF(AND(V203="Probabilidad",V204="Probabilidad"),(AE203-(+AE203*Y204)),IF(AND(V203="Impacto",V204="Probabilidad"),(AE202-(+AE202*Y204)),IF(V204="Impacto",AE203,""))),"")</f>
        <v>2.1167999999999999E-2</v>
      </c>
      <c r="AD204" s="461" t="str">
        <f t="shared" si="70"/>
        <v>Muy Baja</v>
      </c>
      <c r="AE204" s="462">
        <f t="shared" si="71"/>
        <v>2.1167999999999999E-2</v>
      </c>
      <c r="AF204" s="461" t="str">
        <f t="shared" si="72"/>
        <v>Catastrófico</v>
      </c>
      <c r="AG204" s="462">
        <f>IFERROR(IF(AND(V203="Impacto",V204="Impacto"),(AG203-(+AG203*Y204)),IF(AND(V203="Probabilidad",V204="Impacto"),(AG202-(+AG202*Y204)),IF(V204="Probabilidad",AG203,""))),"")</f>
        <v>1</v>
      </c>
      <c r="AH204" s="463" t="str">
        <f t="shared" si="73"/>
        <v>Extremo</v>
      </c>
      <c r="AI204" s="464" t="s">
        <v>192</v>
      </c>
      <c r="AJ204" s="491" t="s">
        <v>493</v>
      </c>
      <c r="AK204" s="491" t="s">
        <v>493</v>
      </c>
      <c r="AL204" s="465" t="s">
        <v>858</v>
      </c>
      <c r="AM204" s="466" t="s">
        <v>859</v>
      </c>
      <c r="AN204" s="638"/>
    </row>
    <row r="205" spans="1:40" ht="409.5" x14ac:dyDescent="0.2">
      <c r="A205" s="478">
        <v>91</v>
      </c>
      <c r="B205" s="478" t="s">
        <v>853</v>
      </c>
      <c r="C205" s="479" t="s">
        <v>842</v>
      </c>
      <c r="D205" s="447" t="str">
        <f>IFERROR(INDEX('Base de datos gestión'!$D$28:$D$50,MATCH(C204,'Base de datos gestión'!$C$28:$C$50,0)), 0)</f>
        <v>Gestionar los servicios administrativos, los bienes y el mantenimiento de equipos eléctricos, planta física y climatización, elaborando y gestionando la programación para cada vigencia y controlando la ejecución de las actividades relacionadas con la administración de los servicios generales y de apoyo logístico interno, los servicios de comercio exterior y actividades del Plan de Gestión Ambiental requeridos para el correcto funcionamiento del INM.
El proceso se relaciona con el objetivo estratégico: Fortalecer la capacidad administrativa y de desempeño institucional para garantizar la eficiencia y calidad a los procesos de la entidad.</v>
      </c>
      <c r="E205" s="447" t="str">
        <f>IFERROR(INDEX('Base de datos gestión'!$E$28:$E$50,MATCH(C204,'Base de datos gestión'!$C$28:$C$50,0)), 0)</f>
        <v>Inicia con los requerimientos institucionales y termina con la atención de las necesidades presentadas por las diferentes áreas del INM.</v>
      </c>
      <c r="F205" s="474" t="s">
        <v>234</v>
      </c>
      <c r="G205" s="477" t="s">
        <v>854</v>
      </c>
      <c r="H205" s="477" t="s">
        <v>855</v>
      </c>
      <c r="I205" s="477" t="s">
        <v>856</v>
      </c>
      <c r="J205" s="481" t="s">
        <v>182</v>
      </c>
      <c r="K205" s="476" t="s">
        <v>183</v>
      </c>
      <c r="L205" s="476">
        <v>12</v>
      </c>
      <c r="M205" s="450" t="str">
        <f t="shared" si="66"/>
        <v>Baja</v>
      </c>
      <c r="N205" s="451">
        <f t="shared" si="65"/>
        <v>0.4</v>
      </c>
      <c r="O205" s="452" t="s">
        <v>239</v>
      </c>
      <c r="P205" s="451" t="str">
        <f>IF(NOT(ISERROR(MATCH(O205,'Tabla Impacto'!$B$222:$B$224,0))),'Tabla Impacto'!$F$224&amp;"Por favor no seleccionar los criterios de impacto(Afectación Económica o presupuestal y Pérdida Reputacional)",O205)</f>
        <v xml:space="preserve">     El riesgo afecta la imagen de de la entidad con efecto publicitario sostenido a nivel de sector administrativo, nivel departamental o municipal</v>
      </c>
      <c r="Q205" s="453" t="str">
        <f>IF(OR(P205='[1]Tabla Impacto'!$C$12,P205='[1]Tabla Impacto'!$D$12),"Leve",IF(OR(P205='[1]Tabla Impacto'!$C$13,P205='[1]Tabla Impacto'!$D$13),"Menor",IF(OR(P205='[1]Tabla Impacto'!$C$14,P205='[1]Tabla Impacto'!$D$14),"Moderado",IF(OR(P205='[1]Tabla Impacto'!$C$15,P205='[1]Tabla Impacto'!$D$15),"Mayor",IF(OR(P205='[1]Tabla Impacto'!$C$16,P205='[1]Tabla Impacto'!$D$16),"Catastrófico","")))))</f>
        <v>Mayor</v>
      </c>
      <c r="R205" s="452">
        <f t="shared" si="67"/>
        <v>0.8</v>
      </c>
      <c r="S205" s="454" t="str">
        <f t="shared" si="68"/>
        <v>Alto</v>
      </c>
      <c r="T205" s="457">
        <v>3</v>
      </c>
      <c r="U205" s="506" t="s">
        <v>862</v>
      </c>
      <c r="V205" s="457" t="str">
        <f t="shared" si="64"/>
        <v>Probabilidad</v>
      </c>
      <c r="W205" s="458" t="s">
        <v>187</v>
      </c>
      <c r="X205" s="458" t="s">
        <v>188</v>
      </c>
      <c r="Y205" s="459" t="str">
        <f t="shared" si="69"/>
        <v>40%</v>
      </c>
      <c r="Z205" s="458" t="s">
        <v>222</v>
      </c>
      <c r="AA205" s="458" t="s">
        <v>190</v>
      </c>
      <c r="AB205" s="458" t="s">
        <v>191</v>
      </c>
      <c r="AC205" s="460">
        <f>IFERROR(IF(AND(V204="Probabilidad",V205="Probabilidad"),(AE204-(+AE204*Y205)),IF(AND(V204="Impacto",V205="Probabilidad"),(AE203-(+AE203*Y205)),IF(V205="Impacto",AE204,""))),"")</f>
        <v>1.27008E-2</v>
      </c>
      <c r="AD205" s="461" t="str">
        <f t="shared" si="70"/>
        <v>Muy Baja</v>
      </c>
      <c r="AE205" s="462">
        <f t="shared" si="71"/>
        <v>1.27008E-2</v>
      </c>
      <c r="AF205" s="461" t="str">
        <f t="shared" si="72"/>
        <v>Catastrófico</v>
      </c>
      <c r="AG205" s="462">
        <f>IFERROR(IF(AND(V204="Impacto",V205="Impacto"),(AG204-(+AG204*Y205)),IF(AND(V204="Probabilidad",V205="Impacto"),(AG203-(+AG203*Y205)),IF(V205="Probabilidad",AG204,""))),"")</f>
        <v>1</v>
      </c>
      <c r="AH205" s="463" t="str">
        <f t="shared" si="73"/>
        <v>Extremo</v>
      </c>
      <c r="AI205" s="464" t="s">
        <v>192</v>
      </c>
      <c r="AJ205" s="465"/>
      <c r="AK205" s="465" t="s">
        <v>496</v>
      </c>
      <c r="AL205" s="465"/>
      <c r="AM205" s="466"/>
      <c r="AN205" s="468"/>
    </row>
    <row r="206" spans="1:40" ht="409.5" x14ac:dyDescent="0.2">
      <c r="A206" s="446">
        <v>91</v>
      </c>
      <c r="B206" s="446" t="s">
        <v>853</v>
      </c>
      <c r="C206" s="447" t="s">
        <v>842</v>
      </c>
      <c r="D206" s="447" t="str">
        <f>IFERROR(INDEX('Base de datos gestión'!$D$28:$D$50,MATCH(C205,'Base de datos gestión'!$C$28:$C$50,0)), 0)</f>
        <v>Gestionar los servicios administrativos, los bienes y el mantenimiento de equipos eléctricos, planta física y climatización, elaborando y gestionando la programación para cada vigencia y controlando la ejecución de las actividades relacionadas con la administración de los servicios generales y de apoyo logístico interno, los servicios de comercio exterior y actividades del Plan de Gestión Ambiental requeridos para el correcto funcionamiento del INM.
El proceso se relaciona con el objetivo estratégico: Fortalecer la capacidad administrativa y de desempeño institucional para garantizar la eficiencia y calidad a los procesos de la entidad.</v>
      </c>
      <c r="E206" s="447" t="str">
        <f>IFERROR(INDEX('Base de datos gestión'!$E$28:$E$50,MATCH(C205,'Base de datos gestión'!$C$28:$C$50,0)), 0)</f>
        <v>Inicia con los requerimientos institucionales y termina con la atención de las necesidades presentadas por las diferentes áreas del INM.</v>
      </c>
      <c r="F206" s="474" t="s">
        <v>234</v>
      </c>
      <c r="G206" s="477" t="s">
        <v>854</v>
      </c>
      <c r="H206" s="477" t="s">
        <v>855</v>
      </c>
      <c r="I206" s="477" t="s">
        <v>856</v>
      </c>
      <c r="J206" s="481" t="s">
        <v>182</v>
      </c>
      <c r="K206" s="476" t="s">
        <v>183</v>
      </c>
      <c r="L206" s="476">
        <v>12</v>
      </c>
      <c r="M206" s="450" t="str">
        <f t="shared" si="66"/>
        <v>Baja</v>
      </c>
      <c r="N206" s="451">
        <f t="shared" si="65"/>
        <v>0.4</v>
      </c>
      <c r="O206" s="452" t="s">
        <v>239</v>
      </c>
      <c r="P206" s="451" t="str">
        <f>IF(NOT(ISERROR(MATCH(O206,'Tabla Impacto'!$B$222:$B$224,0))),'Tabla Impacto'!$F$224&amp;"Por favor no seleccionar los criterios de impacto(Afectación Económica o presupuestal y Pérdida Reputacional)",O206)</f>
        <v xml:space="preserve">     El riesgo afecta la imagen de de la entidad con efecto publicitario sostenido a nivel de sector administrativo, nivel departamental o municipal</v>
      </c>
      <c r="Q206" s="453" t="str">
        <f>IF(OR(P206='[1]Tabla Impacto'!$C$12,P206='[1]Tabla Impacto'!$D$12),"Leve",IF(OR(P206='[1]Tabla Impacto'!$C$13,P206='[1]Tabla Impacto'!$D$13),"Menor",IF(OR(P206='[1]Tabla Impacto'!$C$14,P206='[1]Tabla Impacto'!$D$14),"Moderado",IF(OR(P206='[1]Tabla Impacto'!$C$15,P206='[1]Tabla Impacto'!$D$15),"Mayor",IF(OR(P206='[1]Tabla Impacto'!$C$16,P206='[1]Tabla Impacto'!$D$16),"Catastrófico","")))))</f>
        <v>Mayor</v>
      </c>
      <c r="R206" s="452">
        <f t="shared" si="67"/>
        <v>0.8</v>
      </c>
      <c r="S206" s="454" t="str">
        <f t="shared" si="68"/>
        <v>Alto</v>
      </c>
      <c r="T206" s="457">
        <v>4</v>
      </c>
      <c r="U206" s="506" t="s">
        <v>863</v>
      </c>
      <c r="V206" s="457" t="str">
        <f t="shared" si="64"/>
        <v>Probabilidad</v>
      </c>
      <c r="W206" s="458" t="s">
        <v>187</v>
      </c>
      <c r="X206" s="458" t="s">
        <v>188</v>
      </c>
      <c r="Y206" s="459" t="str">
        <f t="shared" si="69"/>
        <v>40%</v>
      </c>
      <c r="Z206" s="458" t="s">
        <v>222</v>
      </c>
      <c r="AA206" s="458" t="s">
        <v>190</v>
      </c>
      <c r="AB206" s="458" t="s">
        <v>191</v>
      </c>
      <c r="AC206" s="460">
        <f>IFERROR(IF(V206="Probabilidad",(N206-(+N206*Y206)),IF(V206="Impacto",N206,"")),"")</f>
        <v>0.24</v>
      </c>
      <c r="AD206" s="461" t="str">
        <f t="shared" si="70"/>
        <v>Baja</v>
      </c>
      <c r="AE206" s="462">
        <f t="shared" si="71"/>
        <v>0.24</v>
      </c>
      <c r="AF206" s="461" t="str">
        <f t="shared" si="72"/>
        <v>Mayor</v>
      </c>
      <c r="AG206" s="462">
        <f>IFERROR(IF(V206="Impacto",(R206-(+R206*Y206)),IF(V206="Probabilidad",R206,"")),"")</f>
        <v>0.8</v>
      </c>
      <c r="AH206" s="463" t="str">
        <f t="shared" si="73"/>
        <v>Alto</v>
      </c>
      <c r="AI206" s="464" t="s">
        <v>192</v>
      </c>
      <c r="AJ206" s="465"/>
      <c r="AK206" s="209"/>
      <c r="AL206" s="465"/>
      <c r="AM206" s="467"/>
      <c r="AN206" s="468"/>
    </row>
    <row r="207" spans="1:40" ht="409.5" x14ac:dyDescent="0.2">
      <c r="A207" s="469">
        <v>92</v>
      </c>
      <c r="B207" s="469" t="s">
        <v>864</v>
      </c>
      <c r="C207" s="470" t="s">
        <v>842</v>
      </c>
      <c r="D207" s="484" t="str">
        <f>IFERROR(INDEX('Base de datos gestión'!$D$28:$D$50,MATCH(C206,'Base de datos gestión'!$C$28:$C$50,0)), 0)</f>
        <v>Gestionar los servicios administrativos, los bienes y el mantenimiento de equipos eléctricos, planta física y climatización, elaborando y gestionando la programación para cada vigencia y controlando la ejecución de las actividades relacionadas con la administración de los servicios generales y de apoyo logístico interno, los servicios de comercio exterior y actividades del Plan de Gestión Ambiental requeridos para el correcto funcionamiento del INM.
El proceso se relaciona con el objetivo estratégico: Fortalecer la capacidad administrativa y de desempeño institucional para garantizar la eficiencia y calidad a los procesos de la entidad.</v>
      </c>
      <c r="E207" s="447" t="str">
        <f>IFERROR(INDEX('Base de datos gestión'!$E$28:$E$50,MATCH(C206,'Base de datos gestión'!$C$28:$C$50,0)), 0)</f>
        <v>Inicia con los requerimientos institucionales y termina con la atención de las necesidades presentadas por las diferentes áreas del INM.</v>
      </c>
      <c r="F207" s="474" t="s">
        <v>178</v>
      </c>
      <c r="G207" s="477" t="s">
        <v>865</v>
      </c>
      <c r="H207" s="477" t="s">
        <v>866</v>
      </c>
      <c r="I207" s="477" t="s">
        <v>867</v>
      </c>
      <c r="J207" s="481" t="s">
        <v>238</v>
      </c>
      <c r="K207" s="476" t="s">
        <v>258</v>
      </c>
      <c r="L207" s="476">
        <v>12</v>
      </c>
      <c r="M207" s="450" t="str">
        <f t="shared" si="66"/>
        <v>Baja</v>
      </c>
      <c r="N207" s="451">
        <f t="shared" si="65"/>
        <v>0.4</v>
      </c>
      <c r="O207" s="452" t="s">
        <v>214</v>
      </c>
      <c r="P207" s="451" t="str">
        <f>IF(NOT(ISERROR(MATCH(O207,'Tabla Impacto'!$B$222:$B$224,0))),'Tabla Impacto'!$F$224&amp;"Por favor no seleccionar los criterios de impacto(Afectación Económica o presupuestal y Pérdida Reputacional)",O207)</f>
        <v xml:space="preserve">     El riesgo afecta la imagen de la entidad con algunos usuarios de relevancia frente al logro de los objetivos</v>
      </c>
      <c r="Q207" s="453" t="str">
        <f>IF(OR(P207='[1]Tabla Impacto'!$C$12,P207='[1]Tabla Impacto'!$D$12),"Leve",IF(OR(P207='[1]Tabla Impacto'!$C$13,P207='[1]Tabla Impacto'!$D$13),"Menor",IF(OR(P207='[1]Tabla Impacto'!$C$14,P207='[1]Tabla Impacto'!$D$14),"Moderado",IF(OR(P207='[1]Tabla Impacto'!$C$15,P207='[1]Tabla Impacto'!$D$15),"Mayor",IF(OR(P207='[1]Tabla Impacto'!$C$16,P207='[1]Tabla Impacto'!$D$16),"Catastrófico","")))))</f>
        <v>Moderado</v>
      </c>
      <c r="R207" s="452">
        <f t="shared" si="67"/>
        <v>0.6</v>
      </c>
      <c r="S207" s="454" t="str">
        <f t="shared" si="68"/>
        <v>Moderado</v>
      </c>
      <c r="T207" s="457">
        <v>1</v>
      </c>
      <c r="U207" s="507" t="s">
        <v>868</v>
      </c>
      <c r="V207" s="457" t="str">
        <f t="shared" si="64"/>
        <v>Probabilidad</v>
      </c>
      <c r="W207" s="458" t="s">
        <v>187</v>
      </c>
      <c r="X207" s="458" t="s">
        <v>188</v>
      </c>
      <c r="Y207" s="459" t="str">
        <f t="shared" si="69"/>
        <v>40%</v>
      </c>
      <c r="Z207" s="458" t="s">
        <v>222</v>
      </c>
      <c r="AA207" s="458" t="s">
        <v>190</v>
      </c>
      <c r="AB207" s="458" t="s">
        <v>191</v>
      </c>
      <c r="AC207" s="460">
        <f>IFERROR(IF(AND(V206="Probabilidad",V207="Probabilidad"),(AE206-(+AE206*Y207)),IF(V207="Probabilidad",(N206-(+N206*Y207)),IF(V207="Impacto",AE206,""))),"")</f>
        <v>0.14399999999999999</v>
      </c>
      <c r="AD207" s="461" t="str">
        <f t="shared" si="70"/>
        <v>Muy Baja</v>
      </c>
      <c r="AE207" s="462">
        <f t="shared" si="71"/>
        <v>0.14399999999999999</v>
      </c>
      <c r="AF207" s="461" t="str">
        <f t="shared" si="72"/>
        <v>Moderado</v>
      </c>
      <c r="AG207" s="462">
        <f>IFERROR(IF(AND(V206="Impacto",V207="Impacto"),(AG200-(+AG200*Y207)),IF(V207="Impacto",($R$50-(+$R$50*Y207)),IF(V207="Probabilidad",AG200,""))),"")</f>
        <v>0.6</v>
      </c>
      <c r="AH207" s="463" t="str">
        <f t="shared" si="73"/>
        <v>Moderado</v>
      </c>
      <c r="AI207" s="464" t="s">
        <v>192</v>
      </c>
      <c r="AJ207" s="465" t="s">
        <v>496</v>
      </c>
      <c r="AK207" s="465" t="s">
        <v>496</v>
      </c>
      <c r="AL207" s="465" t="s">
        <v>869</v>
      </c>
      <c r="AM207" s="467" t="s">
        <v>870</v>
      </c>
      <c r="AN207" s="467" t="s">
        <v>871</v>
      </c>
    </row>
    <row r="208" spans="1:40" ht="409.5" x14ac:dyDescent="0.2">
      <c r="A208" s="469">
        <v>93</v>
      </c>
      <c r="B208" s="469" t="s">
        <v>872</v>
      </c>
      <c r="C208" s="470" t="s">
        <v>873</v>
      </c>
      <c r="D208" s="447" t="str">
        <f>IFERROR(INDEX('Base de datos gestión'!$D$28:$D$50,MATCH(C208,'Base de datos gestión'!$C$28:$C$50,0)), 0)</f>
        <v>Determinar la responsabilidad en relación con conductas disciplinarias de los servidores públicos del INM establecidas en el marco normativo vigente, adelantando oportuna y eficazmente las indagaciones o investigaciones a que haya lugar, garantizando el debido proceso y el derecho de defensa, ejecutando las sanciones que correspondan, en el marco de principios éticos, de moralidad y de eficiencia de los servidores públicos.</v>
      </c>
      <c r="E208" s="447" t="str">
        <f>IFERROR(INDEX('Base de datos gestión'!$E$28:$E$50,MATCH(C208,'Base de datos gestión'!$C$28:$C$50,0)), 0)</f>
        <v>Inicia con una queja, solicitud o informe respecto a la presunta conducta irregular de un servidor público y termina con una decisión inhibitoria, de archivo, absolutoria o sancionatoria.</v>
      </c>
      <c r="F208" s="474" t="s">
        <v>234</v>
      </c>
      <c r="G208" s="477" t="s">
        <v>874</v>
      </c>
      <c r="H208" s="465" t="s">
        <v>875</v>
      </c>
      <c r="I208" s="477" t="s">
        <v>876</v>
      </c>
      <c r="J208" s="481" t="s">
        <v>182</v>
      </c>
      <c r="K208" s="476" t="s">
        <v>258</v>
      </c>
      <c r="L208" s="476">
        <v>1</v>
      </c>
      <c r="M208" s="450" t="str">
        <f t="shared" si="66"/>
        <v>Muy Baja</v>
      </c>
      <c r="N208" s="451">
        <f t="shared" si="65"/>
        <v>0.2</v>
      </c>
      <c r="O208" s="452" t="s">
        <v>332</v>
      </c>
      <c r="P208" s="451" t="str">
        <f>IF(NOT(ISERROR(MATCH(O208,'Tabla Impacto'!$B$222:$B$224,0))),'Tabla Impacto'!$F$224&amp;"Por favor no seleccionar los criterios de impacto(Afectación Económica o presupuestal y Pérdida Reputacional)",O208)</f>
        <v xml:space="preserve">     El riesgo afecta la imagen de alguna área de la organización</v>
      </c>
      <c r="Q208" s="453" t="str">
        <f>IF(OR(P208='[1]Tabla Impacto'!$C$12,P208='[1]Tabla Impacto'!$D$12),"Leve",IF(OR(P208='[1]Tabla Impacto'!$C$13,P208='[1]Tabla Impacto'!$D$13),"Menor",IF(OR(P208='[1]Tabla Impacto'!$C$14,P208='[1]Tabla Impacto'!$D$14),"Moderado",IF(OR(P208='[1]Tabla Impacto'!$C$15,P208='[1]Tabla Impacto'!$D$15),"Mayor",IF(OR(P208='[1]Tabla Impacto'!$C$16,P208='[1]Tabla Impacto'!$D$16),"Catastrófico","")))))</f>
        <v>Leve</v>
      </c>
      <c r="R208" s="452">
        <f t="shared" si="67"/>
        <v>0.2</v>
      </c>
      <c r="S208" s="454" t="str">
        <f t="shared" si="68"/>
        <v>Bajo</v>
      </c>
      <c r="T208" s="457">
        <v>1</v>
      </c>
      <c r="U208" s="477" t="s">
        <v>877</v>
      </c>
      <c r="V208" s="457" t="str">
        <f t="shared" si="64"/>
        <v>Probabilidad</v>
      </c>
      <c r="W208" s="458" t="s">
        <v>187</v>
      </c>
      <c r="X208" s="458" t="s">
        <v>188</v>
      </c>
      <c r="Y208" s="459" t="str">
        <f t="shared" si="69"/>
        <v>40%</v>
      </c>
      <c r="Z208" s="458" t="s">
        <v>222</v>
      </c>
      <c r="AA208" s="458" t="s">
        <v>190</v>
      </c>
      <c r="AB208" s="458" t="s">
        <v>191</v>
      </c>
      <c r="AC208" s="460">
        <f>IFERROR(IF(V208="Probabilidad",(L208-(+L208*Y208)),IF(T203="Impacto",V208,"")),"")</f>
        <v>0.6</v>
      </c>
      <c r="AD208" s="461" t="str">
        <f t="shared" si="70"/>
        <v>Media</v>
      </c>
      <c r="AE208" s="462">
        <f t="shared" si="71"/>
        <v>0.6</v>
      </c>
      <c r="AF208" s="461" t="str">
        <f t="shared" si="72"/>
        <v>Moderado</v>
      </c>
      <c r="AG208" s="462">
        <f>IFERROR(IF(AND(V207="Impacto",V208="Impacto"),(AG207-(+AG207*Y208)),IF(AND(V207="Probabilidad",V208="Impacto"),(AG206-(+AG206*Y208)),IF(V208="Probabilidad",AG207,""))),"")</f>
        <v>0.6</v>
      </c>
      <c r="AH208" s="463" t="str">
        <f t="shared" si="73"/>
        <v>Moderado</v>
      </c>
      <c r="AI208" s="464" t="s">
        <v>192</v>
      </c>
      <c r="AJ208" s="465" t="s">
        <v>878</v>
      </c>
      <c r="AK208" s="465" t="s">
        <v>194</v>
      </c>
      <c r="AL208" s="465" t="s">
        <v>194</v>
      </c>
      <c r="AM208" s="465" t="s">
        <v>194</v>
      </c>
      <c r="AN208" s="467" t="s">
        <v>879</v>
      </c>
    </row>
    <row r="209" spans="1:40" ht="409.5" x14ac:dyDescent="0.2">
      <c r="A209" s="469">
        <v>93</v>
      </c>
      <c r="B209" s="469" t="s">
        <v>872</v>
      </c>
      <c r="C209" s="470" t="s">
        <v>873</v>
      </c>
      <c r="D209" s="447" t="str">
        <f>IFERROR(INDEX('Base de datos gestión'!$D$28:$D$50,MATCH(C208,'Base de datos gestión'!$C$28:$C$50,0)), 0)</f>
        <v>Determinar la responsabilidad en relación con conductas disciplinarias de los servidores públicos del INM establecidas en el marco normativo vigente, adelantando oportuna y eficazmente las indagaciones o investigaciones a que haya lugar, garantizando el debido proceso y el derecho de defensa, ejecutando las sanciones que correspondan, en el marco de principios éticos, de moralidad y de eficiencia de los servidores públicos.</v>
      </c>
      <c r="E209" s="447" t="str">
        <f>IFERROR(INDEX('Base de datos gestión'!$E$28:$E$50,MATCH(C208,'Base de datos gestión'!$C$28:$C$50,0)), 0)</f>
        <v>Inicia con una queja, solicitud o informe respecto a la presunta conducta irregular de un servidor público y termina con una decisión inhibitoria, de archivo, absolutoria o sancionatoria.</v>
      </c>
      <c r="F209" s="474" t="s">
        <v>234</v>
      </c>
      <c r="G209" s="477" t="s">
        <v>874</v>
      </c>
      <c r="H209" s="465" t="s">
        <v>875</v>
      </c>
      <c r="I209" s="477" t="s">
        <v>876</v>
      </c>
      <c r="J209" s="481" t="s">
        <v>182</v>
      </c>
      <c r="K209" s="476" t="s">
        <v>258</v>
      </c>
      <c r="L209" s="476">
        <v>1</v>
      </c>
      <c r="M209" s="450" t="str">
        <f t="shared" si="66"/>
        <v>Muy Baja</v>
      </c>
      <c r="N209" s="451">
        <f t="shared" si="65"/>
        <v>0.2</v>
      </c>
      <c r="O209" s="452" t="s">
        <v>332</v>
      </c>
      <c r="P209" s="451" t="str">
        <f>IF(NOT(ISERROR(MATCH(O209,'Tabla Impacto'!$B$222:$B$224,0))),'Tabla Impacto'!$F$224&amp;"Por favor no seleccionar los criterios de impacto(Afectación Económica o presupuestal y Pérdida Reputacional)",O209)</f>
        <v xml:space="preserve">     El riesgo afecta la imagen de alguna área de la organización</v>
      </c>
      <c r="Q209" s="453" t="str">
        <f>IF(OR(P209='[1]Tabla Impacto'!$C$12,P209='[1]Tabla Impacto'!$D$12),"Leve",IF(OR(P209='[1]Tabla Impacto'!$C$13,P209='[1]Tabla Impacto'!$D$13),"Menor",IF(OR(P209='[1]Tabla Impacto'!$C$14,P209='[1]Tabla Impacto'!$D$14),"Moderado",IF(OR(P209='[1]Tabla Impacto'!$C$15,P209='[1]Tabla Impacto'!$D$15),"Mayor",IF(OR(P209='[1]Tabla Impacto'!$C$16,P209='[1]Tabla Impacto'!$D$16),"Catastrófico","")))))</f>
        <v>Leve</v>
      </c>
      <c r="R209" s="452">
        <f t="shared" si="67"/>
        <v>0.2</v>
      </c>
      <c r="S209" s="454" t="str">
        <f t="shared" si="68"/>
        <v>Bajo</v>
      </c>
      <c r="T209" s="457">
        <v>2</v>
      </c>
      <c r="U209" s="477" t="s">
        <v>880</v>
      </c>
      <c r="V209" s="457" t="s">
        <v>2</v>
      </c>
      <c r="W209" s="458" t="s">
        <v>187</v>
      </c>
      <c r="X209" s="458" t="s">
        <v>188</v>
      </c>
      <c r="Y209" s="459" t="str">
        <f t="shared" si="69"/>
        <v>40%</v>
      </c>
      <c r="Z209" s="458" t="s">
        <v>222</v>
      </c>
      <c r="AA209" s="458" t="s">
        <v>190</v>
      </c>
      <c r="AB209" s="458" t="s">
        <v>191</v>
      </c>
      <c r="AC209" s="460">
        <f>IFERROR(IF(AND(V208="Probabilidad",V209="Probabilidad"),(AE208-(+AE208*Y209)),IF(AND(V208="Impacto",V209="Probabilidad"),(AE207-(+AE207*Y209)),IF(V209="Impacto",AE208,""))),"")</f>
        <v>0.36</v>
      </c>
      <c r="AD209" s="461" t="str">
        <f t="shared" si="70"/>
        <v>Baja</v>
      </c>
      <c r="AE209" s="462">
        <f t="shared" si="71"/>
        <v>0.36</v>
      </c>
      <c r="AF209" s="461" t="str">
        <f t="shared" si="72"/>
        <v>Moderado</v>
      </c>
      <c r="AG209" s="462">
        <f>IFERROR(IF(AND(V208="Impacto",V209="Impacto"),(AG208-(+AG208*Y209)),IF(AND(V208="Probabilidad",V209="Impacto"),(AG207-(+AG207*Y209)),IF(V209="Probabilidad",AG208,""))),"")</f>
        <v>0.6</v>
      </c>
      <c r="AH209" s="463" t="str">
        <f t="shared" si="73"/>
        <v>Moderado</v>
      </c>
      <c r="AI209" s="464" t="s">
        <v>192</v>
      </c>
      <c r="AJ209" s="465" t="s">
        <v>878</v>
      </c>
      <c r="AK209" s="465" t="s">
        <v>194</v>
      </c>
      <c r="AL209" s="465" t="s">
        <v>194</v>
      </c>
      <c r="AM209" s="465" t="s">
        <v>194</v>
      </c>
      <c r="AN209" s="467" t="s">
        <v>879</v>
      </c>
    </row>
    <row r="210" spans="1:40" ht="299.25" x14ac:dyDescent="0.2">
      <c r="A210" s="469">
        <v>94</v>
      </c>
      <c r="B210" s="469" t="s">
        <v>881</v>
      </c>
      <c r="C210" s="470" t="s">
        <v>882</v>
      </c>
      <c r="D210" s="447" t="str">
        <f>IFERROR(INDEX('Base de datos gestión'!$D$28:$D$50,MATCH(C209,'Base de datos gestión'!$C$28:$C$50,0)), 0)</f>
        <v>Determinar la responsabilidad en relación con conductas disciplinarias de los servidores públicos del INM establecidas en el marco normativo vigente, adelantando oportuna y eficazmente las indagaciones o investigaciones a que haya lugar, garantizando el debido proceso y el derecho de defensa, ejecutando las sanciones que correspondan, en el marco de principios éticos, de moralidad y de eficiencia de los servidores públicos.</v>
      </c>
      <c r="E210" s="447" t="str">
        <f>IFERROR(INDEX('Base de datos gestión'!$E$28:$E$50,MATCH(C209,'Base de datos gestión'!$C$28:$C$50,0)), 0)</f>
        <v>Inicia con una queja, solicitud o informe respecto a la presunta conducta irregular de un servidor público y termina con una decisión inhibitoria, de archivo, absolutoria o sancionatoria.</v>
      </c>
      <c r="F210" s="474" t="s">
        <v>178</v>
      </c>
      <c r="G210" s="475" t="s">
        <v>883</v>
      </c>
      <c r="H210" s="474" t="s">
        <v>884</v>
      </c>
      <c r="I210" s="474" t="s">
        <v>885</v>
      </c>
      <c r="J210" s="481" t="s">
        <v>238</v>
      </c>
      <c r="K210" s="476" t="s">
        <v>183</v>
      </c>
      <c r="L210" s="476">
        <v>200</v>
      </c>
      <c r="M210" s="450" t="str">
        <f t="shared" si="66"/>
        <v>Media</v>
      </c>
      <c r="N210" s="451">
        <f t="shared" si="65"/>
        <v>0.6</v>
      </c>
      <c r="O210" s="452" t="s">
        <v>207</v>
      </c>
      <c r="P210" s="451" t="str">
        <f>IF(NOT(ISERROR(MATCH(O210,'Tabla Impacto'!$B$222:$B$224,0))),'Tabla Impacto'!$F$224&amp;"Por favor no seleccionar los criterios de impacto(Afectación Económica o presupuestal y Pérdida Reputacional)",O210)</f>
        <v xml:space="preserve">     El riesgo afecta la imagen de la entidad internamente, de conocimiento general, nivel interno, de junta directiva y accionistas y/o de proveedores</v>
      </c>
      <c r="Q210" s="453" t="s">
        <v>8</v>
      </c>
      <c r="R210" s="452">
        <v>0.6</v>
      </c>
      <c r="S210" s="454" t="s">
        <v>8</v>
      </c>
      <c r="T210" s="457">
        <v>1</v>
      </c>
      <c r="U210" s="477" t="s">
        <v>886</v>
      </c>
      <c r="V210" s="457" t="str">
        <f t="shared" si="64"/>
        <v>Probabilidad</v>
      </c>
      <c r="W210" s="458" t="s">
        <v>228</v>
      </c>
      <c r="X210" s="458" t="s">
        <v>188</v>
      </c>
      <c r="Y210" s="459" t="str">
        <f t="shared" si="69"/>
        <v>30%</v>
      </c>
      <c r="Z210" s="458" t="s">
        <v>222</v>
      </c>
      <c r="AA210" s="458" t="s">
        <v>190</v>
      </c>
      <c r="AB210" s="458" t="s">
        <v>191</v>
      </c>
      <c r="AC210" s="460">
        <f>IFERROR(IF(AND(V209="Probabilidad",V210="Probabilidad"),(AE209-(+AE209*Y210)),IF(AND(V209="Impacto",V210="Probabilidad"),(AE208-(+AE208*Y210)),IF(V210="Impacto",AE209,""))),"")</f>
        <v>0.252</v>
      </c>
      <c r="AD210" s="461" t="str">
        <f t="shared" si="70"/>
        <v>Baja</v>
      </c>
      <c r="AE210" s="462">
        <f t="shared" si="71"/>
        <v>0.252</v>
      </c>
      <c r="AF210" s="461" t="str">
        <f t="shared" si="72"/>
        <v>Moderado</v>
      </c>
      <c r="AG210" s="462">
        <f>IFERROR(IF(AND(V209="Impacto",V210="Impacto"),(AG209-(+AG209*Y210)),IF(AND(V209="Probabilidad",V210="Impacto"),(AG208-(+AG208*Y210)),IF(V210="Probabilidad",AG209,""))),"")</f>
        <v>0.6</v>
      </c>
      <c r="AH210" s="463" t="str">
        <f t="shared" si="73"/>
        <v>Moderado</v>
      </c>
      <c r="AI210" s="464" t="s">
        <v>511</v>
      </c>
      <c r="AJ210" s="465"/>
      <c r="AK210" s="465"/>
      <c r="AL210" s="466"/>
      <c r="AM210" s="467"/>
      <c r="AN210" s="468"/>
    </row>
    <row r="211" spans="1:40" ht="313.5" x14ac:dyDescent="0.2">
      <c r="A211" s="478">
        <v>94</v>
      </c>
      <c r="B211" s="478" t="s">
        <v>881</v>
      </c>
      <c r="C211" s="479" t="s">
        <v>882</v>
      </c>
      <c r="D211" s="447" t="str">
        <f>IFERROR(INDEX('Base de datos gestión'!$D$28:$D$50,MATCH(C210,'Base de datos gestión'!$C$28:$C$50,0)), 0)</f>
        <v>Gestionar los procesos de contratación atendiendo los requisitos legales y reglamentarios para la adquisición de bienes y servicios, cada vez que sea requerido de acuerdo al Plan Anual de Adquisiciones para asegurar el desarrollo de los procesos del INM
El proceso se relaciona con el objetivo estratégico: Fortalecer la capacidad administrativa y de desempeño institucional para garantizar la eficiencia y calidad a los procesos de la entidad</v>
      </c>
      <c r="E211" s="447" t="str">
        <f>IFERROR(INDEX('Base de datos gestión'!$E$28:$E$50,MATCH(C210,'Base de datos gestión'!$C$28:$C$50,0)), 0)</f>
        <v>Inicia con la radicación de solicitud de contratación y finaliza con la terminación de la relación contractual.</v>
      </c>
      <c r="F211" s="474" t="s">
        <v>178</v>
      </c>
      <c r="G211" s="475" t="s">
        <v>883</v>
      </c>
      <c r="H211" s="474" t="s">
        <v>884</v>
      </c>
      <c r="I211" s="474" t="s">
        <v>885</v>
      </c>
      <c r="J211" s="481" t="s">
        <v>238</v>
      </c>
      <c r="K211" s="499" t="s">
        <v>183</v>
      </c>
      <c r="L211" s="476">
        <v>200</v>
      </c>
      <c r="M211" s="450" t="str">
        <f t="shared" si="66"/>
        <v>Media</v>
      </c>
      <c r="N211" s="451">
        <f t="shared" si="65"/>
        <v>0.6</v>
      </c>
      <c r="O211" s="452" t="s">
        <v>207</v>
      </c>
      <c r="P211" s="451" t="str">
        <f>IF(NOT(ISERROR(MATCH(O211,'Tabla Impacto'!$B$222:$B$224,0))),'Tabla Impacto'!$F$224&amp;"Por favor no seleccionar los criterios de impacto(Afectación Económica o presupuestal y Pérdida Reputacional)",O211)</f>
        <v xml:space="preserve">     El riesgo afecta la imagen de la entidad internamente, de conocimiento general, nivel interno, de junta directiva y accionistas y/o de proveedores</v>
      </c>
      <c r="Q211" s="453" t="s">
        <v>8</v>
      </c>
      <c r="R211" s="452">
        <v>0.6</v>
      </c>
      <c r="S211" s="454" t="s">
        <v>8</v>
      </c>
      <c r="T211" s="457">
        <v>2</v>
      </c>
      <c r="U211" s="477" t="s">
        <v>887</v>
      </c>
      <c r="V211" s="457" t="str">
        <f t="shared" si="64"/>
        <v>Probabilidad</v>
      </c>
      <c r="W211" s="458" t="s">
        <v>228</v>
      </c>
      <c r="X211" s="458" t="s">
        <v>188</v>
      </c>
      <c r="Y211" s="459" t="str">
        <f t="shared" si="69"/>
        <v>30%</v>
      </c>
      <c r="Z211" s="458" t="s">
        <v>222</v>
      </c>
      <c r="AA211" s="458" t="s">
        <v>190</v>
      </c>
      <c r="AB211" s="458" t="s">
        <v>191</v>
      </c>
      <c r="AC211" s="460">
        <f>IFERROR(IF(AND(V210="Probabilidad",V211="Probabilidad"),(AE210-(+AE210*Y211)),IF(AND(V210="Impacto",V211="Probabilidad"),(AE209-(+AE209*Y211)),IF(V211="Impacto",AE210,""))),"")</f>
        <v>0.1764</v>
      </c>
      <c r="AD211" s="461" t="str">
        <f t="shared" si="70"/>
        <v>Muy Baja</v>
      </c>
      <c r="AE211" s="462">
        <f t="shared" si="71"/>
        <v>0.1764</v>
      </c>
      <c r="AF211" s="461" t="str">
        <f t="shared" si="72"/>
        <v>Moderado</v>
      </c>
      <c r="AG211" s="462">
        <f>IFERROR(IF(AND(V210="Impacto",V211="Impacto"),(AG210-(+AG210*Y211)),IF(AND(V210="Probabilidad",V211="Impacto"),(AG209-(+AG209*Y211)),IF(V211="Probabilidad",AG210,""))),"")</f>
        <v>0.6</v>
      </c>
      <c r="AH211" s="463" t="str">
        <f t="shared" si="73"/>
        <v>Moderado</v>
      </c>
      <c r="AI211" s="464" t="s">
        <v>192</v>
      </c>
      <c r="AJ211" s="465"/>
      <c r="AK211" s="465"/>
      <c r="AL211" s="466"/>
      <c r="AM211" s="467"/>
      <c r="AN211" s="468"/>
    </row>
    <row r="212" spans="1:40" ht="313.5" x14ac:dyDescent="0.2">
      <c r="A212" s="446">
        <v>94</v>
      </c>
      <c r="B212" s="446" t="s">
        <v>881</v>
      </c>
      <c r="C212" s="447" t="s">
        <v>882</v>
      </c>
      <c r="D212" s="447" t="str">
        <f>IFERROR(INDEX('Base de datos gestión'!$D$28:$D$50,MATCH(C211,'Base de datos gestión'!$C$28:$C$50,0)), 0)</f>
        <v>Gestionar los procesos de contratación atendiendo los requisitos legales y reglamentarios para la adquisición de bienes y servicios, cada vez que sea requerido de acuerdo al Plan Anual de Adquisiciones para asegurar el desarrollo de los procesos del INM
El proceso se relaciona con el objetivo estratégico: Fortalecer la capacidad administrativa y de desempeño institucional para garantizar la eficiencia y calidad a los procesos de la entidad</v>
      </c>
      <c r="E212" s="447" t="str">
        <f>IFERROR(INDEX('Base de datos gestión'!$E$28:$E$50,MATCH(C211,'Base de datos gestión'!$C$28:$C$50,0)), 0)</f>
        <v>Inicia con la radicación de solicitud de contratación y finaliza con la terminación de la relación contractual.</v>
      </c>
      <c r="F212" s="474" t="s">
        <v>178</v>
      </c>
      <c r="G212" s="475" t="s">
        <v>883</v>
      </c>
      <c r="H212" s="474" t="s">
        <v>884</v>
      </c>
      <c r="I212" s="474" t="s">
        <v>885</v>
      </c>
      <c r="J212" s="481" t="s">
        <v>238</v>
      </c>
      <c r="K212" s="499" t="s">
        <v>183</v>
      </c>
      <c r="L212" s="476">
        <v>200</v>
      </c>
      <c r="M212" s="450" t="str">
        <f t="shared" si="66"/>
        <v>Media</v>
      </c>
      <c r="N212" s="451">
        <f t="shared" si="65"/>
        <v>0.6</v>
      </c>
      <c r="O212" s="452" t="s">
        <v>207</v>
      </c>
      <c r="P212" s="451" t="str">
        <f>IF(NOT(ISERROR(MATCH(O212,'Tabla Impacto'!$B$222:$B$224,0))),'Tabla Impacto'!$F$224&amp;"Por favor no seleccionar los criterios de impacto(Afectación Económica o presupuestal y Pérdida Reputacional)",O212)</f>
        <v xml:space="preserve">     El riesgo afecta la imagen de la entidad internamente, de conocimiento general, nivel interno, de junta directiva y accionistas y/o de proveedores</v>
      </c>
      <c r="Q212" s="453" t="s">
        <v>8</v>
      </c>
      <c r="R212" s="452">
        <v>0.6</v>
      </c>
      <c r="S212" s="454" t="s">
        <v>8</v>
      </c>
      <c r="T212" s="457">
        <v>3</v>
      </c>
      <c r="U212" s="477" t="s">
        <v>888</v>
      </c>
      <c r="V212" s="457" t="str">
        <f t="shared" si="64"/>
        <v>Probabilidad</v>
      </c>
      <c r="W212" s="458" t="s">
        <v>228</v>
      </c>
      <c r="X212" s="458" t="s">
        <v>188</v>
      </c>
      <c r="Y212" s="459" t="str">
        <f t="shared" si="69"/>
        <v>30%</v>
      </c>
      <c r="Z212" s="458" t="s">
        <v>222</v>
      </c>
      <c r="AA212" s="458" t="s">
        <v>190</v>
      </c>
      <c r="AB212" s="458" t="s">
        <v>191</v>
      </c>
      <c r="AC212" s="460">
        <f>IFERROR(IF(V212="Probabilidad",(N212-(+N212*Y212)),IF(V212="Impacto",N212,"")),"")</f>
        <v>0.42</v>
      </c>
      <c r="AD212" s="461" t="str">
        <f t="shared" si="70"/>
        <v>Media</v>
      </c>
      <c r="AE212" s="462">
        <f t="shared" si="71"/>
        <v>0.42</v>
      </c>
      <c r="AF212" s="461" t="str">
        <f t="shared" si="72"/>
        <v>Moderado</v>
      </c>
      <c r="AG212" s="462">
        <f>IFERROR(IF(V212="Impacto",(R212-(+R212*Y212)),IF(V212="Probabilidad",R212,"")),"")</f>
        <v>0.6</v>
      </c>
      <c r="AH212" s="463" t="str">
        <f t="shared" si="73"/>
        <v>Moderado</v>
      </c>
      <c r="AI212" s="464" t="s">
        <v>192</v>
      </c>
      <c r="AJ212" s="465"/>
      <c r="AK212" s="465"/>
      <c r="AL212" s="466"/>
      <c r="AM212" s="467"/>
      <c r="AN212" s="468"/>
    </row>
    <row r="213" spans="1:40" ht="313.5" x14ac:dyDescent="0.2">
      <c r="A213" s="469">
        <v>95</v>
      </c>
      <c r="B213" s="469" t="s">
        <v>889</v>
      </c>
      <c r="C213" s="470" t="s">
        <v>882</v>
      </c>
      <c r="D213" s="447" t="str">
        <f>IFERROR(INDEX('Base de datos gestión'!$D$28:$D$50,MATCH(C212,'Base de datos gestión'!$C$28:$C$50,0)), 0)</f>
        <v>Gestionar los procesos de contratación atendiendo los requisitos legales y reglamentarios para la adquisición de bienes y servicios, cada vez que sea requerido de acuerdo al Plan Anual de Adquisiciones para asegurar el desarrollo de los procesos del INM
El proceso se relaciona con el objetivo estratégico: Fortalecer la capacidad administrativa y de desempeño institucional para garantizar la eficiencia y calidad a los procesos de la entidad</v>
      </c>
      <c r="E213" s="447" t="str">
        <f>IFERROR(INDEX('Base de datos gestión'!$E$28:$E$50,MATCH(C212,'Base de datos gestión'!$C$28:$C$50,0)), 0)</f>
        <v>Inicia con la radicación de solicitud de contratación y finaliza con la terminación de la relación contractual.</v>
      </c>
      <c r="F213" s="474" t="s">
        <v>445</v>
      </c>
      <c r="G213" s="475" t="s">
        <v>890</v>
      </c>
      <c r="H213" s="474" t="s">
        <v>891</v>
      </c>
      <c r="I213" s="474" t="s">
        <v>892</v>
      </c>
      <c r="J213" s="481" t="s">
        <v>238</v>
      </c>
      <c r="K213" s="499" t="s">
        <v>258</v>
      </c>
      <c r="L213" s="476">
        <v>200</v>
      </c>
      <c r="M213" s="450" t="str">
        <f t="shared" si="66"/>
        <v>Media</v>
      </c>
      <c r="N213" s="451">
        <f t="shared" ref="N213:N261" si="74">IF(M213="","",IF(M213="Muy Baja",0.2,IF(M213="Baja",0.4,IF(M213="Media",0.6,IF(M213="Alta",0.8,IF(M213="Muy Alta",1,))))))</f>
        <v>0.6</v>
      </c>
      <c r="O213" s="452" t="s">
        <v>769</v>
      </c>
      <c r="P213" s="451" t="str">
        <f>IF(NOT(ISERROR(MATCH(O213,'Tabla Impacto'!$B$222:$B$224,0))),'Tabla Impacto'!$F$224&amp;"Por favor no seleccionar los criterios de impacto(Afectación Económica o presupuestal y Pérdida Reputacional)",O213)</f>
        <v xml:space="preserve">     Entre 100 y 500 SMLMV </v>
      </c>
      <c r="Q213" s="453" t="str">
        <f>IF(OR(P213='[1]Tabla Impacto'!$C$12,P213='[1]Tabla Impacto'!$D$12),"Leve",IF(OR(P213='[1]Tabla Impacto'!$C$13,P213='[1]Tabla Impacto'!$D$13),"Menor",IF(OR(P213='[1]Tabla Impacto'!$C$14,P213='[1]Tabla Impacto'!$D$14),"Moderado",IF(OR(P213='[1]Tabla Impacto'!$C$15,P213='[1]Tabla Impacto'!$D$15),"Mayor",IF(OR(P213='[1]Tabla Impacto'!$C$16,P213='[1]Tabla Impacto'!$D$16),"Catastrófico","")))))</f>
        <v>Mayor</v>
      </c>
      <c r="R213" s="452">
        <f t="shared" si="67"/>
        <v>0.8</v>
      </c>
      <c r="S213" s="454" t="str">
        <f t="shared" si="68"/>
        <v>Alto</v>
      </c>
      <c r="T213" s="457">
        <v>1</v>
      </c>
      <c r="U213" s="477" t="s">
        <v>893</v>
      </c>
      <c r="V213" s="457" t="str">
        <f t="shared" si="64"/>
        <v>Probabilidad</v>
      </c>
      <c r="W213" s="458" t="s">
        <v>228</v>
      </c>
      <c r="X213" s="458" t="s">
        <v>188</v>
      </c>
      <c r="Y213" s="459" t="str">
        <f t="shared" si="69"/>
        <v>30%</v>
      </c>
      <c r="Z213" s="458" t="s">
        <v>189</v>
      </c>
      <c r="AA213" s="458" t="s">
        <v>190</v>
      </c>
      <c r="AB213" s="458" t="s">
        <v>191</v>
      </c>
      <c r="AC213" s="460">
        <f>IFERROR(IF(AND(V212="Probabilidad",V213="Probabilidad"),(AE212-(+AE212*Y213)),IF(V213="Probabilidad",(N212-(+N212*Y213)),IF(V213="Impacto",AE212,""))),"")</f>
        <v>0.29399999999999998</v>
      </c>
      <c r="AD213" s="461" t="str">
        <f t="shared" si="70"/>
        <v>Baja</v>
      </c>
      <c r="AE213" s="462">
        <f t="shared" si="71"/>
        <v>0.29399999999999998</v>
      </c>
      <c r="AF213" s="461" t="str">
        <f t="shared" si="72"/>
        <v>Mayor</v>
      </c>
      <c r="AG213" s="462">
        <f>IFERROR(IF(AND(V212="Impacto",V213="Impacto"),(AG206-(+AG206*Y213)),IF(V213="Impacto",($R$56-(+$R$56*Y213)),IF(V213="Probabilidad",AG206,""))),"")</f>
        <v>0.8</v>
      </c>
      <c r="AH213" s="463" t="str">
        <f t="shared" si="73"/>
        <v>Alto</v>
      </c>
      <c r="AI213" s="464" t="s">
        <v>192</v>
      </c>
      <c r="AJ213" s="465"/>
      <c r="AK213" s="465"/>
      <c r="AL213" s="467"/>
      <c r="AM213" s="467"/>
      <c r="AN213" s="468"/>
    </row>
    <row r="214" spans="1:40" ht="313.5" x14ac:dyDescent="0.2">
      <c r="A214" s="469">
        <v>95</v>
      </c>
      <c r="B214" s="469" t="s">
        <v>889</v>
      </c>
      <c r="C214" s="470" t="s">
        <v>882</v>
      </c>
      <c r="D214" s="447" t="str">
        <f>IFERROR(INDEX('Base de datos gestión'!$D$28:$D$50,MATCH(C213,'Base de datos gestión'!$C$28:$C$50,0)), 0)</f>
        <v>Gestionar los procesos de contratación atendiendo los requisitos legales y reglamentarios para la adquisición de bienes y servicios, cada vez que sea requerido de acuerdo al Plan Anual de Adquisiciones para asegurar el desarrollo de los procesos del INM
El proceso se relaciona con el objetivo estratégico: Fortalecer la capacidad administrativa y de desempeño institucional para garantizar la eficiencia y calidad a los procesos de la entidad</v>
      </c>
      <c r="E214" s="447" t="str">
        <f>IFERROR(INDEX('Base de datos gestión'!$E$28:$E$50,MATCH(C213,'Base de datos gestión'!$C$28:$C$50,0)), 0)</f>
        <v>Inicia con la radicación de solicitud de contratación y finaliza con la terminación de la relación contractual.</v>
      </c>
      <c r="F214" s="474" t="s">
        <v>445</v>
      </c>
      <c r="G214" s="475" t="s">
        <v>890</v>
      </c>
      <c r="H214" s="474" t="s">
        <v>891</v>
      </c>
      <c r="I214" s="474" t="s">
        <v>892</v>
      </c>
      <c r="J214" s="481" t="s">
        <v>238</v>
      </c>
      <c r="K214" s="499" t="s">
        <v>258</v>
      </c>
      <c r="L214" s="476">
        <v>200</v>
      </c>
      <c r="M214" s="450" t="str">
        <f t="shared" si="66"/>
        <v>Media</v>
      </c>
      <c r="N214" s="451">
        <f t="shared" si="74"/>
        <v>0.6</v>
      </c>
      <c r="O214" s="452" t="s">
        <v>769</v>
      </c>
      <c r="P214" s="451" t="str">
        <f>IF(NOT(ISERROR(MATCH(O214,'Tabla Impacto'!$B$222:$B$224,0))),'Tabla Impacto'!$F$224&amp;"Por favor no seleccionar los criterios de impacto(Afectación Económica o presupuestal y Pérdida Reputacional)",O214)</f>
        <v xml:space="preserve">     Entre 100 y 500 SMLMV </v>
      </c>
      <c r="Q214" s="453" t="str">
        <f>IF(OR(P214='[1]Tabla Impacto'!$C$12,P214='[1]Tabla Impacto'!$D$12),"Leve",IF(OR(P214='[1]Tabla Impacto'!$C$13,P214='[1]Tabla Impacto'!$D$13),"Menor",IF(OR(P214='[1]Tabla Impacto'!$C$14,P214='[1]Tabla Impacto'!$D$14),"Moderado",IF(OR(P214='[1]Tabla Impacto'!$C$15,P214='[1]Tabla Impacto'!$D$15),"Mayor",IF(OR(P214='[1]Tabla Impacto'!$C$16,P214='[1]Tabla Impacto'!$D$16),"Catastrófico","")))))</f>
        <v>Mayor</v>
      </c>
      <c r="R214" s="452">
        <f t="shared" si="67"/>
        <v>0.8</v>
      </c>
      <c r="S214" s="454" t="str">
        <f t="shared" si="68"/>
        <v>Alto</v>
      </c>
      <c r="T214" s="457">
        <v>2</v>
      </c>
      <c r="U214" s="477" t="s">
        <v>894</v>
      </c>
      <c r="V214" s="457" t="str">
        <f t="shared" si="64"/>
        <v>Probabilidad</v>
      </c>
      <c r="W214" s="458" t="s">
        <v>187</v>
      </c>
      <c r="X214" s="458" t="s">
        <v>188</v>
      </c>
      <c r="Y214" s="459" t="str">
        <f t="shared" ref="Y214:Y261" si="75">IF(AND(W214="Preventivo",X214="Automático"),"50%",IF(AND(W214="Preventivo",X214="Manual"),"40%",IF(AND(W214="Detectivo",X214="Automático"),"40%",IF(AND(W214="Detectivo",X214="Manual"),"30%",IF(AND(W214="Correctivo",X214="Automático"),"35%",IF(AND(W214="Correctivo",X214="Manual"),"25%",""))))))</f>
        <v>40%</v>
      </c>
      <c r="Z214" s="458" t="s">
        <v>222</v>
      </c>
      <c r="AA214" s="458" t="s">
        <v>202</v>
      </c>
      <c r="AB214" s="458" t="s">
        <v>191</v>
      </c>
      <c r="AC214" s="460">
        <f>IFERROR(IF(AND(V213="Probabilidad",V214="Probabilidad"),(AE213-(+AE213*Y214)),IF(AND(V213="Impacto",V214="Probabilidad"),(AE212-(+AE212*Y214)),IF(V214="Impacto",AE213,""))),"")</f>
        <v>0.1764</v>
      </c>
      <c r="AD214" s="461" t="str">
        <f t="shared" ref="AD214:AD261" si="76">IFERROR(IF(AC214="","",IF(AC214&lt;=0.2,"Muy Baja",IF(AC214&lt;=0.4,"Baja",IF(AC214&lt;=0.6,"Media",IF(AC214&lt;=0.8,"Alta","Muy Alta"))))),"")</f>
        <v>Muy Baja</v>
      </c>
      <c r="AE214" s="462">
        <f t="shared" ref="AE214:AE261" si="77">+AC214</f>
        <v>0.1764</v>
      </c>
      <c r="AF214" s="461" t="str">
        <f t="shared" ref="AF214:AF261" si="78">IFERROR(IF(AG214="","",IF(AG214&lt;=0.2,"Leve",IF(AG214&lt;=0.4,"Menor",IF(AG214&lt;=0.6,"Moderado",IF(AG214&lt;=0.8,"Mayor","Catastrófico"))))),"")</f>
        <v>Mayor</v>
      </c>
      <c r="AG214" s="462">
        <f>IFERROR(IF(AND(V213="Impacto",V214="Impacto"),(AG213-(+AG213*Y214)),IF(AND(V213="Probabilidad",V214="Impacto"),(AG212-(+AG212*Y214)),IF(V214="Probabilidad",AG213,""))),"")</f>
        <v>0.8</v>
      </c>
      <c r="AH214" s="463" t="str">
        <f t="shared" ref="AH214:AH261" si="79">IFERROR(IF(OR(AND(AD214="Muy Baja",AF214="Leve"),AND(AD214="Muy Baja",AF214="Menor"),AND(AD214="Baja",AF214="Leve")),"Bajo",IF(OR(AND(AD214="Muy baja",AF214="Moderado"),AND(AD214="Baja",AF214="Menor"),AND(AD214="Baja",AF214="Moderado"),AND(AD214="Media",AF214="Leve"),AND(AD214="Media",AF214="Menor"),AND(AD214="Media",AF214="Moderado"),AND(AD214="Alta",AF214="Leve"),AND(AD214="Alta",AF214="Menor")),"Moderado",IF(OR(AND(AD214="Muy Baja",AF214="Mayor"),AND(AD214="Baja",AF214="Mayor"),AND(AD214="Media",AF214="Mayor"),AND(AD214="Alta",AF214="Moderado"),AND(AD214="Alta",AF214="Mayor"),AND(AD214="Muy Alta",AF214="Leve"),AND(AD214="Muy Alta",AF214="Menor"),AND(AD214="Muy Alta",AF214="Moderado"),AND(AD214="Muy Alta",AF214="Mayor")),"Alto",IF(OR(AND(AD214="Muy Baja",AF214="Catastrófico"),AND(AD214="Baja",AF214="Catastrófico"),AND(AD214="Media",AF214="Catastrófico"),AND(AD214="Alta",AF214="Catastrófico"),AND(AD214="Muy Alta",AF214="Catastrófico")),"Extremo","")))),"")</f>
        <v>Alto</v>
      </c>
      <c r="AI214" s="464" t="s">
        <v>192</v>
      </c>
      <c r="AJ214" s="465"/>
      <c r="AK214" s="465"/>
      <c r="AL214" s="466"/>
      <c r="AM214" s="467"/>
      <c r="AN214" s="468"/>
    </row>
    <row r="215" spans="1:40" ht="313.5" x14ac:dyDescent="0.2">
      <c r="A215" s="469">
        <v>96</v>
      </c>
      <c r="B215" s="469" t="s">
        <v>895</v>
      </c>
      <c r="C215" s="470" t="s">
        <v>882</v>
      </c>
      <c r="D215" s="447" t="str">
        <f>IFERROR(INDEX('Base de datos gestión'!$D$28:$D$50,MATCH(C214,'Base de datos gestión'!$C$28:$C$50,0)), 0)</f>
        <v>Gestionar los procesos de contratación atendiendo los requisitos legales y reglamentarios para la adquisición de bienes y servicios, cada vez que sea requerido de acuerdo al Plan Anual de Adquisiciones para asegurar el desarrollo de los procesos del INM
El proceso se relaciona con el objetivo estratégico: Fortalecer la capacidad administrativa y de desempeño institucional para garantizar la eficiencia y calidad a los procesos de la entidad</v>
      </c>
      <c r="E215" s="447" t="str">
        <f>IFERROR(INDEX('Base de datos gestión'!$E$28:$E$50,MATCH(C214,'Base de datos gestión'!$C$28:$C$50,0)), 0)</f>
        <v>Inicia con la radicación de solicitud de contratación y finaliza con la terminación de la relación contractual.</v>
      </c>
      <c r="F215" s="476" t="s">
        <v>234</v>
      </c>
      <c r="G215" s="508" t="s">
        <v>896</v>
      </c>
      <c r="H215" s="508" t="s">
        <v>897</v>
      </c>
      <c r="I215" s="508" t="s">
        <v>898</v>
      </c>
      <c r="J215" s="481" t="s">
        <v>238</v>
      </c>
      <c r="K215" s="497" t="s">
        <v>258</v>
      </c>
      <c r="L215" s="476">
        <v>20</v>
      </c>
      <c r="M215" s="450" t="str">
        <f t="shared" si="66"/>
        <v>Baja</v>
      </c>
      <c r="N215" s="451">
        <f t="shared" si="74"/>
        <v>0.4</v>
      </c>
      <c r="O215" s="452" t="s">
        <v>597</v>
      </c>
      <c r="P215" s="451" t="str">
        <f>IF(NOT(ISERROR(MATCH(O215,'Tabla Impacto'!$B$222:$B$224,0))),'Tabla Impacto'!$F$224&amp;"Por favor no seleccionar los criterios de impacto(Afectación Económica o presupuestal y Pérdida Reputacional)",O215)</f>
        <v xml:space="preserve">     Entre 10 y 50 SMLMV </v>
      </c>
      <c r="Q215" s="453" t="str">
        <f>IF(OR(P215='[1]Tabla Impacto'!$C$12,P215='[1]Tabla Impacto'!$D$12),"Leve",IF(OR(P215='[1]Tabla Impacto'!$C$13,P215='[1]Tabla Impacto'!$D$13),"Menor",IF(OR(P215='[1]Tabla Impacto'!$C$14,P215='[1]Tabla Impacto'!$D$14),"Moderado",IF(OR(P215='[1]Tabla Impacto'!$C$15,P215='[1]Tabla Impacto'!$D$15),"Mayor",IF(OR(P215='[1]Tabla Impacto'!$C$16,P215='[1]Tabla Impacto'!$D$16),"Catastrófico","")))))</f>
        <v>Menor</v>
      </c>
      <c r="R215" s="452">
        <f t="shared" si="67"/>
        <v>0.4</v>
      </c>
      <c r="S215" s="454" t="str">
        <f t="shared" si="68"/>
        <v>Moderado</v>
      </c>
      <c r="T215" s="457">
        <v>1</v>
      </c>
      <c r="U215" s="477" t="s">
        <v>899</v>
      </c>
      <c r="V215" s="457" t="str">
        <f t="shared" si="64"/>
        <v>Probabilidad</v>
      </c>
      <c r="W215" s="458" t="s">
        <v>187</v>
      </c>
      <c r="X215" s="458" t="s">
        <v>188</v>
      </c>
      <c r="Y215" s="459" t="str">
        <f t="shared" si="75"/>
        <v>40%</v>
      </c>
      <c r="Z215" s="458" t="s">
        <v>189</v>
      </c>
      <c r="AA215" s="458" t="s">
        <v>190</v>
      </c>
      <c r="AB215" s="458" t="s">
        <v>191</v>
      </c>
      <c r="AC215" s="460">
        <f>IFERROR(IF(AND(V214="Probabilidad",V215="Probabilidad"),(AE214-(+AE214*Y215)),IF(AND(V214="Impacto",V215="Probabilidad"),(AE213-(+AE213*Y215)),IF(V215="Impacto",AE214,""))),"")</f>
        <v>0.10584</v>
      </c>
      <c r="AD215" s="461" t="str">
        <f t="shared" si="76"/>
        <v>Muy Baja</v>
      </c>
      <c r="AE215" s="462">
        <f t="shared" si="77"/>
        <v>0.10584</v>
      </c>
      <c r="AF215" s="461" t="str">
        <f t="shared" si="78"/>
        <v>Mayor</v>
      </c>
      <c r="AG215" s="462">
        <f>IFERROR(IF(AND(V214="Impacto",V215="Impacto"),(AG214-(+AG214*Y215)),IF(AND(V214="Probabilidad",V215="Impacto"),(AG213-(+AG213*Y215)),IF(V215="Probabilidad",AG214,""))),"")</f>
        <v>0.8</v>
      </c>
      <c r="AH215" s="463" t="str">
        <f t="shared" si="79"/>
        <v>Alto</v>
      </c>
      <c r="AI215" s="464" t="s">
        <v>192</v>
      </c>
      <c r="AJ215" s="465"/>
      <c r="AK215" s="465"/>
      <c r="AL215" s="466"/>
      <c r="AM215" s="467"/>
      <c r="AN215" s="468"/>
    </row>
    <row r="216" spans="1:40" ht="313.5" x14ac:dyDescent="0.2">
      <c r="A216" s="469">
        <v>97</v>
      </c>
      <c r="B216" s="469" t="s">
        <v>900</v>
      </c>
      <c r="C216" s="470" t="s">
        <v>882</v>
      </c>
      <c r="D216" s="447" t="str">
        <f>IFERROR(INDEX('Base de datos gestión'!$D$28:$D$50,MATCH(C215,'Base de datos gestión'!$C$28:$C$50,0)), 0)</f>
        <v>Gestionar los procesos de contratación atendiendo los requisitos legales y reglamentarios para la adquisición de bienes y servicios, cada vez que sea requerido de acuerdo al Plan Anual de Adquisiciones para asegurar el desarrollo de los procesos del INM
El proceso se relaciona con el objetivo estratégico: Fortalecer la capacidad administrativa y de desempeño institucional para garantizar la eficiencia y calidad a los procesos de la entidad</v>
      </c>
      <c r="E216" s="447" t="str">
        <f>IFERROR(INDEX('Base de datos gestión'!$E$28:$E$50,MATCH(C215,'Base de datos gestión'!$C$28:$C$50,0)), 0)</f>
        <v>Inicia con la radicación de solicitud de contratación y finaliza con la terminación de la relación contractual.</v>
      </c>
      <c r="F216" s="476" t="s">
        <v>234</v>
      </c>
      <c r="G216" s="509" t="s">
        <v>901</v>
      </c>
      <c r="H216" s="509" t="s">
        <v>902</v>
      </c>
      <c r="I216" s="508" t="s">
        <v>903</v>
      </c>
      <c r="J216" s="481" t="s">
        <v>182</v>
      </c>
      <c r="K216" s="497" t="s">
        <v>380</v>
      </c>
      <c r="L216" s="476">
        <v>180</v>
      </c>
      <c r="M216" s="450" t="str">
        <f t="shared" si="66"/>
        <v>Media</v>
      </c>
      <c r="N216" s="451">
        <f t="shared" si="74"/>
        <v>0.6</v>
      </c>
      <c r="O216" s="452" t="s">
        <v>769</v>
      </c>
      <c r="P216" s="451" t="str">
        <f>IF(NOT(ISERROR(MATCH(O216,'Tabla Impacto'!$B$222:$B$224,0))),'Tabla Impacto'!$F$224&amp;"Por favor no seleccionar los criterios de impacto(Afectación Económica o presupuestal y Pérdida Reputacional)",O216)</f>
        <v xml:space="preserve">     Entre 100 y 500 SMLMV </v>
      </c>
      <c r="Q216" s="453" t="str">
        <f>IF(OR(P216='[1]Tabla Impacto'!$C$12,P216='[1]Tabla Impacto'!$D$12),"Leve",IF(OR(P216='[1]Tabla Impacto'!$C$13,P216='[1]Tabla Impacto'!$D$13),"Menor",IF(OR(P216='[1]Tabla Impacto'!$C$14,P216='[1]Tabla Impacto'!$D$14),"Moderado",IF(OR(P216='[1]Tabla Impacto'!$C$15,P216='[1]Tabla Impacto'!$D$15),"Mayor",IF(OR(P216='[1]Tabla Impacto'!$C$16,P216='[1]Tabla Impacto'!$D$16),"Catastrófico","")))))</f>
        <v>Mayor</v>
      </c>
      <c r="R216" s="452">
        <f t="shared" si="67"/>
        <v>0.8</v>
      </c>
      <c r="S216" s="454" t="str">
        <f t="shared" si="68"/>
        <v>Alto</v>
      </c>
      <c r="T216" s="457">
        <v>1</v>
      </c>
      <c r="U216" s="477" t="s">
        <v>904</v>
      </c>
      <c r="V216" s="457" t="str">
        <f t="shared" si="64"/>
        <v>Probabilidad</v>
      </c>
      <c r="W216" s="458" t="s">
        <v>187</v>
      </c>
      <c r="X216" s="458" t="s">
        <v>188</v>
      </c>
      <c r="Y216" s="459" t="str">
        <f t="shared" si="75"/>
        <v>40%</v>
      </c>
      <c r="Z216" s="458" t="s">
        <v>189</v>
      </c>
      <c r="AA216" s="458" t="s">
        <v>190</v>
      </c>
      <c r="AB216" s="458" t="s">
        <v>191</v>
      </c>
      <c r="AC216" s="460">
        <f>IFERROR(IF(AND(V215="Probabilidad",V216="Probabilidad"),(AE215-(+AE215*Y216)),IF(AND(V215="Impacto",V216="Probabilidad"),(AE214-(+AE214*Y216)),IF(V216="Impacto",AE215,""))),"")</f>
        <v>6.3504000000000005E-2</v>
      </c>
      <c r="AD216" s="461" t="str">
        <f t="shared" si="76"/>
        <v>Muy Baja</v>
      </c>
      <c r="AE216" s="462">
        <f t="shared" si="77"/>
        <v>6.3504000000000005E-2</v>
      </c>
      <c r="AF216" s="461" t="str">
        <f t="shared" si="78"/>
        <v>Mayor</v>
      </c>
      <c r="AG216" s="462">
        <f>IFERROR(IF(AND(V215="Impacto",V216="Impacto"),(AG215-(+AG215*Y216)),IF(AND(V215="Probabilidad",V216="Impacto"),(AG214-(+AG214*Y216)),IF(V216="Probabilidad",AG215,""))),"")</f>
        <v>0.8</v>
      </c>
      <c r="AH216" s="463" t="str">
        <f t="shared" si="79"/>
        <v>Alto</v>
      </c>
      <c r="AI216" s="464" t="s">
        <v>192</v>
      </c>
      <c r="AJ216" s="465"/>
      <c r="AK216" s="465"/>
      <c r="AL216" s="466"/>
      <c r="AM216" s="467"/>
      <c r="AN216" s="468"/>
    </row>
    <row r="217" spans="1:40" ht="313.5" x14ac:dyDescent="0.2">
      <c r="A217" s="478">
        <v>98</v>
      </c>
      <c r="B217" s="478" t="s">
        <v>905</v>
      </c>
      <c r="C217" s="479" t="s">
        <v>906</v>
      </c>
      <c r="D217" s="447" t="str">
        <f>IFERROR(INDEX('Base de datos gestión'!$D$28:$D$50,MATCH(C216,'Base de datos gestión'!$C$28:$C$50,0)), 0)</f>
        <v>Gestionar los procesos de contratación atendiendo los requisitos legales y reglamentarios para la adquisición de bienes y servicios, cada vez que sea requerido de acuerdo al Plan Anual de Adquisiciones para asegurar el desarrollo de los procesos del INM
El proceso se relaciona con el objetivo estratégico: Fortalecer la capacidad administrativa y de desempeño institucional para garantizar la eficiencia y calidad a los procesos de la entidad</v>
      </c>
      <c r="E217" s="447" t="str">
        <f>IFERROR(INDEX('Base de datos gestión'!$E$28:$E$50,MATCH(C216,'Base de datos gestión'!$C$28:$C$50,0)), 0)</f>
        <v>Inicia con la radicación de solicitud de contratación y finaliza con la terminación de la relación contractual.</v>
      </c>
      <c r="F217" s="474" t="s">
        <v>234</v>
      </c>
      <c r="G217" s="475" t="s">
        <v>907</v>
      </c>
      <c r="H217" s="474" t="s">
        <v>908</v>
      </c>
      <c r="I217" s="477" t="s">
        <v>909</v>
      </c>
      <c r="J217" s="481" t="s">
        <v>238</v>
      </c>
      <c r="K217" s="499" t="s">
        <v>258</v>
      </c>
      <c r="L217" s="476">
        <v>1500</v>
      </c>
      <c r="M217" s="450" t="str">
        <f t="shared" si="66"/>
        <v>Alta</v>
      </c>
      <c r="N217" s="451">
        <f t="shared" si="74"/>
        <v>0.8</v>
      </c>
      <c r="O217" s="452" t="s">
        <v>214</v>
      </c>
      <c r="P217" s="451" t="str">
        <f>IF(NOT(ISERROR(MATCH(O217,'Tabla Impacto'!$B$222:$B$224,0))),'Tabla Impacto'!$F$224&amp;"Por favor no seleccionar los criterios de impacto(Afectación Económica o presupuestal y Pérdida Reputacional)",O217)</f>
        <v xml:space="preserve">     El riesgo afecta la imagen de la entidad con algunos usuarios de relevancia frente al logro de los objetivos</v>
      </c>
      <c r="Q217" s="453" t="str">
        <f>IF(OR(P217='[1]Tabla Impacto'!$C$12,P217='[1]Tabla Impacto'!$D$12),"Leve",IF(OR(P217='[1]Tabla Impacto'!$C$13,P217='[1]Tabla Impacto'!$D$13),"Menor",IF(OR(P217='[1]Tabla Impacto'!$C$14,P217='[1]Tabla Impacto'!$D$14),"Moderado",IF(OR(P217='[1]Tabla Impacto'!$C$15,P217='[1]Tabla Impacto'!$D$15),"Mayor",IF(OR(P217='[1]Tabla Impacto'!$C$16,P217='[1]Tabla Impacto'!$D$16),"Catastrófico","")))))</f>
        <v>Moderado</v>
      </c>
      <c r="R217" s="452">
        <f t="shared" si="67"/>
        <v>0.6</v>
      </c>
      <c r="S217" s="454" t="str">
        <f t="shared" si="68"/>
        <v>Alto</v>
      </c>
      <c r="T217" s="457">
        <v>1</v>
      </c>
      <c r="U217" s="477" t="s">
        <v>910</v>
      </c>
      <c r="V217" s="457" t="str">
        <f t="shared" si="64"/>
        <v>Probabilidad</v>
      </c>
      <c r="W217" s="458" t="s">
        <v>187</v>
      </c>
      <c r="X217" s="458" t="s">
        <v>341</v>
      </c>
      <c r="Y217" s="459" t="str">
        <f t="shared" si="75"/>
        <v>50%</v>
      </c>
      <c r="Z217" s="458" t="s">
        <v>222</v>
      </c>
      <c r="AA217" s="458" t="s">
        <v>190</v>
      </c>
      <c r="AB217" s="458" t="s">
        <v>191</v>
      </c>
      <c r="AC217" s="460">
        <f>IFERROR(IF(AND(V216="Probabilidad",V217="Probabilidad"),(AE216-(+AE216*Y217)),IF(AND(V216="Impacto",V217="Probabilidad"),(AE215-(+AE215*Y217)),IF(V217="Impacto",AE216,""))),"")</f>
        <v>3.1752000000000002E-2</v>
      </c>
      <c r="AD217" s="461" t="str">
        <f t="shared" si="76"/>
        <v>Muy Baja</v>
      </c>
      <c r="AE217" s="462">
        <f t="shared" si="77"/>
        <v>3.1752000000000002E-2</v>
      </c>
      <c r="AF217" s="461" t="str">
        <f t="shared" si="78"/>
        <v>Mayor</v>
      </c>
      <c r="AG217" s="462">
        <f>IFERROR(IF(AND(V216="Impacto",V217="Impacto"),(AG216-(+AG216*Y217)),IF(AND(V216="Probabilidad",V217="Impacto"),(AG215-(+AG215*Y217)),IF(V217="Probabilidad",AG216,""))),"")</f>
        <v>0.8</v>
      </c>
      <c r="AH217" s="463" t="str">
        <f t="shared" si="79"/>
        <v>Alto</v>
      </c>
      <c r="AI217" s="464" t="s">
        <v>192</v>
      </c>
      <c r="AJ217" s="465"/>
      <c r="AK217" s="465"/>
      <c r="AL217" s="466"/>
      <c r="AM217" s="467"/>
      <c r="AN217" s="468"/>
    </row>
    <row r="218" spans="1:40" ht="409.5" x14ac:dyDescent="0.2">
      <c r="A218" s="446">
        <v>98</v>
      </c>
      <c r="B218" s="446" t="s">
        <v>905</v>
      </c>
      <c r="C218" s="447" t="s">
        <v>906</v>
      </c>
      <c r="D218" s="447" t="str">
        <f>IFERROR(INDEX('Base de datos gestión'!$D$28:$D$50,MATCH(C217,'Base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18" s="447" t="str">
        <f>IFERROR(INDEX('Base de datos gestión'!$E$28:$E$50,MATCH(C217,'Base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18" s="474" t="s">
        <v>234</v>
      </c>
      <c r="G218" s="475" t="s">
        <v>907</v>
      </c>
      <c r="H218" s="474" t="s">
        <v>908</v>
      </c>
      <c r="I218" s="477" t="s">
        <v>911</v>
      </c>
      <c r="J218" s="481" t="s">
        <v>238</v>
      </c>
      <c r="K218" s="499" t="s">
        <v>258</v>
      </c>
      <c r="L218" s="476">
        <v>1500</v>
      </c>
      <c r="M218" s="450" t="str">
        <f t="shared" si="66"/>
        <v>Alta</v>
      </c>
      <c r="N218" s="451">
        <f t="shared" si="74"/>
        <v>0.8</v>
      </c>
      <c r="O218" s="452" t="s">
        <v>214</v>
      </c>
      <c r="P218" s="451" t="str">
        <f>IF(NOT(ISERROR(MATCH(O218,'Tabla Impacto'!$B$222:$B$224,0))),'Tabla Impacto'!$F$224&amp;"Por favor no seleccionar los criterios de impacto(Afectación Económica o presupuestal y Pérdida Reputacional)",O218)</f>
        <v xml:space="preserve">     El riesgo afecta la imagen de la entidad con algunos usuarios de relevancia frente al logro de los objetivos</v>
      </c>
      <c r="Q218" s="453" t="str">
        <f>IF(OR(P218='[1]Tabla Impacto'!$C$12,P218='[1]Tabla Impacto'!$D$12),"Leve",IF(OR(P218='[1]Tabla Impacto'!$C$13,P218='[1]Tabla Impacto'!$D$13),"Menor",IF(OR(P218='[1]Tabla Impacto'!$C$14,P218='[1]Tabla Impacto'!$D$14),"Moderado",IF(OR(P218='[1]Tabla Impacto'!$C$15,P218='[1]Tabla Impacto'!$D$15),"Mayor",IF(OR(P218='[1]Tabla Impacto'!$C$16,P218='[1]Tabla Impacto'!$D$16),"Catastrófico","")))))</f>
        <v>Moderado</v>
      </c>
      <c r="R218" s="452">
        <f t="shared" si="67"/>
        <v>0.6</v>
      </c>
      <c r="S218" s="454" t="str">
        <f t="shared" si="68"/>
        <v>Alto</v>
      </c>
      <c r="T218" s="457">
        <v>2</v>
      </c>
      <c r="U218" s="477" t="s">
        <v>912</v>
      </c>
      <c r="V218" s="457" t="str">
        <f t="shared" si="64"/>
        <v>Probabilidad</v>
      </c>
      <c r="W218" s="458" t="s">
        <v>228</v>
      </c>
      <c r="X218" s="458" t="s">
        <v>341</v>
      </c>
      <c r="Y218" s="459" t="str">
        <f t="shared" si="75"/>
        <v>40%</v>
      </c>
      <c r="Z218" s="458" t="s">
        <v>222</v>
      </c>
      <c r="AA218" s="458" t="s">
        <v>190</v>
      </c>
      <c r="AB218" s="458" t="s">
        <v>191</v>
      </c>
      <c r="AC218" s="460">
        <f>IFERROR(IF(V218="Probabilidad",(N218-(+N218*Y218)),IF(V218="Impacto",N218,"")),"")</f>
        <v>0.48</v>
      </c>
      <c r="AD218" s="461" t="str">
        <f t="shared" si="76"/>
        <v>Media</v>
      </c>
      <c r="AE218" s="462">
        <f t="shared" si="77"/>
        <v>0.48</v>
      </c>
      <c r="AF218" s="461" t="str">
        <f t="shared" si="78"/>
        <v>Moderado</v>
      </c>
      <c r="AG218" s="462">
        <f>IFERROR(IF(V218="Impacto",(R218-(+R218*Y218)),IF(V218="Probabilidad",R218,"")),"")</f>
        <v>0.6</v>
      </c>
      <c r="AH218" s="463" t="str">
        <f t="shared" si="79"/>
        <v>Moderado</v>
      </c>
      <c r="AI218" s="464" t="s">
        <v>192</v>
      </c>
      <c r="AJ218" s="465"/>
      <c r="AK218" s="465"/>
      <c r="AL218" s="466"/>
      <c r="AM218" s="467"/>
      <c r="AN218" s="468"/>
    </row>
    <row r="219" spans="1:40" ht="409.5" x14ac:dyDescent="0.2">
      <c r="A219" s="469">
        <v>98</v>
      </c>
      <c r="B219" s="469" t="s">
        <v>905</v>
      </c>
      <c r="C219" s="470" t="s">
        <v>906</v>
      </c>
      <c r="D219" s="447" t="str">
        <f>IFERROR(INDEX('Base de datos gestión'!$D$28:$D$50,MATCH(C218,'Base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19" s="447" t="str">
        <f>IFERROR(INDEX('Base de datos gestión'!$E$28:$E$50,MATCH(C218,'Base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19" s="474" t="s">
        <v>234</v>
      </c>
      <c r="G219" s="475" t="s">
        <v>907</v>
      </c>
      <c r="H219" s="474" t="s">
        <v>908</v>
      </c>
      <c r="I219" s="475" t="s">
        <v>913</v>
      </c>
      <c r="J219" s="481" t="s">
        <v>238</v>
      </c>
      <c r="K219" s="499" t="s">
        <v>258</v>
      </c>
      <c r="L219" s="476">
        <v>1500</v>
      </c>
      <c r="M219" s="450" t="str">
        <f t="shared" si="66"/>
        <v>Alta</v>
      </c>
      <c r="N219" s="451">
        <f t="shared" si="74"/>
        <v>0.8</v>
      </c>
      <c r="O219" s="452" t="s">
        <v>214</v>
      </c>
      <c r="P219" s="451" t="str">
        <f>IF(NOT(ISERROR(MATCH(O219,'Tabla Impacto'!$B$222:$B$224,0))),'Tabla Impacto'!$F$224&amp;"Por favor no seleccionar los criterios de impacto(Afectación Económica o presupuestal y Pérdida Reputacional)",O219)</f>
        <v xml:space="preserve">     El riesgo afecta la imagen de la entidad con algunos usuarios de relevancia frente al logro de los objetivos</v>
      </c>
      <c r="Q219" s="453" t="str">
        <f>IF(OR(P219='[1]Tabla Impacto'!$C$12,P219='[1]Tabla Impacto'!$D$12),"Leve",IF(OR(P219='[1]Tabla Impacto'!$C$13,P219='[1]Tabla Impacto'!$D$13),"Menor",IF(OR(P219='[1]Tabla Impacto'!$C$14,P219='[1]Tabla Impacto'!$D$14),"Moderado",IF(OR(P219='[1]Tabla Impacto'!$C$15,P219='[1]Tabla Impacto'!$D$15),"Mayor",IF(OR(P219='[1]Tabla Impacto'!$C$16,P219='[1]Tabla Impacto'!$D$16),"Catastrófico","")))))</f>
        <v>Moderado</v>
      </c>
      <c r="R219" s="452">
        <f t="shared" si="67"/>
        <v>0.6</v>
      </c>
      <c r="S219" s="454" t="str">
        <f t="shared" si="68"/>
        <v>Alto</v>
      </c>
      <c r="T219" s="457">
        <v>3</v>
      </c>
      <c r="U219" s="477" t="s">
        <v>914</v>
      </c>
      <c r="V219" s="457" t="str">
        <f t="shared" si="64"/>
        <v>Probabilidad</v>
      </c>
      <c r="W219" s="458" t="s">
        <v>228</v>
      </c>
      <c r="X219" s="458" t="s">
        <v>188</v>
      </c>
      <c r="Y219" s="459" t="str">
        <f t="shared" si="75"/>
        <v>30%</v>
      </c>
      <c r="Z219" s="458" t="s">
        <v>222</v>
      </c>
      <c r="AA219" s="458" t="s">
        <v>190</v>
      </c>
      <c r="AB219" s="458" t="s">
        <v>191</v>
      </c>
      <c r="AC219" s="460">
        <f>IFERROR(IF(AND(V218="Probabilidad",V219="Probabilidad"),(AE218-(+AE218*Y219)),IF(V219="Probabilidad",(N218-(+N218*Y219)),IF(V219="Impacto",AE218,""))),"")</f>
        <v>0.33599999999999997</v>
      </c>
      <c r="AD219" s="461" t="str">
        <f t="shared" si="76"/>
        <v>Baja</v>
      </c>
      <c r="AE219" s="462">
        <f t="shared" si="77"/>
        <v>0.33599999999999997</v>
      </c>
      <c r="AF219" s="461" t="str">
        <f t="shared" si="78"/>
        <v>Moderado</v>
      </c>
      <c r="AG219" s="462">
        <f>IFERROR(IF(AND(V218="Impacto",V219="Impacto"),(AG212-(+AG212*Y219)),IF(V219="Impacto",($R$50-(+$R$50*Y219)),IF(V219="Probabilidad",AG212,""))),"")</f>
        <v>0.6</v>
      </c>
      <c r="AH219" s="463" t="str">
        <f t="shared" si="79"/>
        <v>Moderado</v>
      </c>
      <c r="AI219" s="464" t="s">
        <v>192</v>
      </c>
      <c r="AJ219" s="465"/>
      <c r="AK219" s="465"/>
      <c r="AL219" s="466"/>
      <c r="AM219" s="467"/>
      <c r="AN219" s="468"/>
    </row>
    <row r="220" spans="1:40" ht="409.5" x14ac:dyDescent="0.2">
      <c r="A220" s="469">
        <v>98</v>
      </c>
      <c r="B220" s="469" t="s">
        <v>905</v>
      </c>
      <c r="C220" s="470" t="s">
        <v>906</v>
      </c>
      <c r="D220" s="447" t="str">
        <f>IFERROR(INDEX('Base de datos gestión'!$D$28:$D$50,MATCH(C219,'Base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20" s="447" t="str">
        <f>IFERROR(INDEX('Base de datos gestión'!$E$28:$E$50,MATCH(C219,'Base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20" s="474" t="s">
        <v>234</v>
      </c>
      <c r="G220" s="475" t="s">
        <v>907</v>
      </c>
      <c r="H220" s="476" t="s">
        <v>447</v>
      </c>
      <c r="I220" s="508" t="s">
        <v>908</v>
      </c>
      <c r="J220" s="481" t="s">
        <v>238</v>
      </c>
      <c r="K220" s="499" t="s">
        <v>258</v>
      </c>
      <c r="L220" s="476">
        <v>1500</v>
      </c>
      <c r="M220" s="450" t="str">
        <f t="shared" si="66"/>
        <v>Alta</v>
      </c>
      <c r="N220" s="451">
        <f t="shared" si="74"/>
        <v>0.8</v>
      </c>
      <c r="O220" s="452" t="s">
        <v>214</v>
      </c>
      <c r="P220" s="451" t="str">
        <f>IF(NOT(ISERROR(MATCH(O220,'Tabla Impacto'!$B$222:$B$224,0))),'Tabla Impacto'!$F$224&amp;"Por favor no seleccionar los criterios de impacto(Afectación Económica o presupuestal y Pérdida Reputacional)",O220)</f>
        <v xml:space="preserve">     El riesgo afecta la imagen de la entidad con algunos usuarios de relevancia frente al logro de los objetivos</v>
      </c>
      <c r="Q220" s="453" t="str">
        <f>IF(OR(P220='[1]Tabla Impacto'!$C$12,P220='[1]Tabla Impacto'!$D$12),"Leve",IF(OR(P220='[1]Tabla Impacto'!$C$13,P220='[1]Tabla Impacto'!$D$13),"Menor",IF(OR(P220='[1]Tabla Impacto'!$C$14,P220='[1]Tabla Impacto'!$D$14),"Moderado",IF(OR(P220='[1]Tabla Impacto'!$C$15,P220='[1]Tabla Impacto'!$D$15),"Mayor",IF(OR(P220='[1]Tabla Impacto'!$C$16,P220='[1]Tabla Impacto'!$D$16),"Catastrófico","")))))</f>
        <v>Moderado</v>
      </c>
      <c r="R220" s="452">
        <f t="shared" si="67"/>
        <v>0.6</v>
      </c>
      <c r="S220" s="454" t="str">
        <f t="shared" si="68"/>
        <v>Alto</v>
      </c>
      <c r="T220" s="457">
        <v>4</v>
      </c>
      <c r="U220" s="477" t="s">
        <v>915</v>
      </c>
      <c r="V220" s="457" t="str">
        <f t="shared" si="64"/>
        <v>Probabilidad</v>
      </c>
      <c r="W220" s="458" t="s">
        <v>228</v>
      </c>
      <c r="X220" s="458" t="s">
        <v>188</v>
      </c>
      <c r="Y220" s="459" t="str">
        <f t="shared" si="75"/>
        <v>30%</v>
      </c>
      <c r="Z220" s="458" t="s">
        <v>222</v>
      </c>
      <c r="AA220" s="458" t="s">
        <v>190</v>
      </c>
      <c r="AB220" s="458" t="s">
        <v>191</v>
      </c>
      <c r="AC220" s="460">
        <f>IFERROR(IF(AND(V219="Probabilidad",V220="Probabilidad"),(AE219-(+AE219*Y220)),IF(AND(V219="Impacto",V220="Probabilidad"),(AE218-(+AE218*Y220)),IF(V220="Impacto",AE219,""))),"")</f>
        <v>0.23519999999999996</v>
      </c>
      <c r="AD220" s="461" t="str">
        <f t="shared" si="76"/>
        <v>Baja</v>
      </c>
      <c r="AE220" s="462">
        <f t="shared" si="77"/>
        <v>0.23519999999999996</v>
      </c>
      <c r="AF220" s="461" t="str">
        <f t="shared" si="78"/>
        <v>Moderado</v>
      </c>
      <c r="AG220" s="462">
        <f>IFERROR(IF(AND(V219="Impacto",V220="Impacto"),(AG219-(+AG219*Y220)),IF(AND(V219="Probabilidad",V220="Impacto"),(AG218-(+AG218*Y220)),IF(V220="Probabilidad",AG219,""))),"")</f>
        <v>0.6</v>
      </c>
      <c r="AH220" s="463" t="str">
        <f t="shared" si="79"/>
        <v>Moderado</v>
      </c>
      <c r="AI220" s="464" t="s">
        <v>192</v>
      </c>
      <c r="AJ220" s="465"/>
      <c r="AK220" s="465"/>
      <c r="AL220" s="466"/>
      <c r="AM220" s="467"/>
      <c r="AN220" s="468"/>
    </row>
    <row r="221" spans="1:40" ht="409.5" x14ac:dyDescent="0.2">
      <c r="A221" s="469">
        <v>98</v>
      </c>
      <c r="B221" s="469" t="s">
        <v>905</v>
      </c>
      <c r="C221" s="470" t="s">
        <v>906</v>
      </c>
      <c r="D221" s="447" t="str">
        <f>IFERROR(INDEX('Base de datos gestión'!$D$28:$D$50,MATCH(C220,'Base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21" s="447" t="str">
        <f>IFERROR(INDEX('Base de datos gestión'!$E$28:$E$50,MATCH(C220,'Base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21" s="474" t="s">
        <v>234</v>
      </c>
      <c r="G221" s="475" t="s">
        <v>907</v>
      </c>
      <c r="H221" s="474" t="s">
        <v>908</v>
      </c>
      <c r="I221" s="477" t="s">
        <v>916</v>
      </c>
      <c r="J221" s="481" t="s">
        <v>238</v>
      </c>
      <c r="K221" s="499" t="s">
        <v>258</v>
      </c>
      <c r="L221" s="476">
        <v>1500</v>
      </c>
      <c r="M221" s="450" t="str">
        <f t="shared" si="66"/>
        <v>Alta</v>
      </c>
      <c r="N221" s="451">
        <f t="shared" si="74"/>
        <v>0.8</v>
      </c>
      <c r="O221" s="452" t="s">
        <v>214</v>
      </c>
      <c r="P221" s="451" t="str">
        <f>IF(NOT(ISERROR(MATCH(O221,'Tabla Impacto'!$B$222:$B$224,0))),'Tabla Impacto'!$F$224&amp;"Por favor no seleccionar los criterios de impacto(Afectación Económica o presupuestal y Pérdida Reputacional)",O221)</f>
        <v xml:space="preserve">     El riesgo afecta la imagen de la entidad con algunos usuarios de relevancia frente al logro de los objetivos</v>
      </c>
      <c r="Q221" s="453" t="str">
        <f>IF(OR(P221='[1]Tabla Impacto'!$C$12,P221='[1]Tabla Impacto'!$D$12),"Leve",IF(OR(P221='[1]Tabla Impacto'!$C$13,P221='[1]Tabla Impacto'!$D$13),"Menor",IF(OR(P221='[1]Tabla Impacto'!$C$14,P221='[1]Tabla Impacto'!$D$14),"Moderado",IF(OR(P221='[1]Tabla Impacto'!$C$15,P221='[1]Tabla Impacto'!$D$15),"Mayor",IF(OR(P221='[1]Tabla Impacto'!$C$16,P221='[1]Tabla Impacto'!$D$16),"Catastrófico","")))))</f>
        <v>Moderado</v>
      </c>
      <c r="R221" s="452">
        <f t="shared" si="67"/>
        <v>0.6</v>
      </c>
      <c r="S221" s="454" t="str">
        <f t="shared" si="68"/>
        <v>Alto</v>
      </c>
      <c r="T221" s="457">
        <v>5</v>
      </c>
      <c r="U221" s="477" t="s">
        <v>917</v>
      </c>
      <c r="V221" s="457" t="str">
        <f t="shared" si="64"/>
        <v>Probabilidad</v>
      </c>
      <c r="W221" s="458" t="s">
        <v>228</v>
      </c>
      <c r="X221" s="458" t="s">
        <v>188</v>
      </c>
      <c r="Y221" s="459" t="str">
        <f t="shared" si="75"/>
        <v>30%</v>
      </c>
      <c r="Z221" s="458" t="s">
        <v>222</v>
      </c>
      <c r="AA221" s="458" t="s">
        <v>190</v>
      </c>
      <c r="AB221" s="458" t="s">
        <v>191</v>
      </c>
      <c r="AC221" s="460">
        <f>IFERROR(IF(AND(V220="Probabilidad",V221="Probabilidad"),(AE220-(+AE220*Y221)),IF(AND(V220="Impacto",V221="Probabilidad"),(AE219-(+AE219*Y221)),IF(V221="Impacto",AE220,""))),"")</f>
        <v>0.16463999999999998</v>
      </c>
      <c r="AD221" s="461" t="str">
        <f t="shared" si="76"/>
        <v>Muy Baja</v>
      </c>
      <c r="AE221" s="462">
        <f t="shared" si="77"/>
        <v>0.16463999999999998</v>
      </c>
      <c r="AF221" s="461" t="str">
        <f t="shared" si="78"/>
        <v>Moderado</v>
      </c>
      <c r="AG221" s="462">
        <f>IFERROR(IF(AND(V220="Impacto",V221="Impacto"),(AG220-(+AG220*Y221)),IF(AND(V220="Probabilidad",V221="Impacto"),(AG219-(+AG219*Y221)),IF(V221="Probabilidad",AG220,""))),"")</f>
        <v>0.6</v>
      </c>
      <c r="AH221" s="463" t="str">
        <f t="shared" si="79"/>
        <v>Moderado</v>
      </c>
      <c r="AI221" s="464" t="s">
        <v>192</v>
      </c>
      <c r="AJ221" s="465"/>
      <c r="AK221" s="465"/>
      <c r="AL221" s="466"/>
      <c r="AM221" s="467"/>
      <c r="AN221" s="468"/>
    </row>
    <row r="222" spans="1:40" ht="409.5" x14ac:dyDescent="0.2">
      <c r="A222" s="469">
        <v>99</v>
      </c>
      <c r="B222" s="469" t="s">
        <v>918</v>
      </c>
      <c r="C222" s="470" t="s">
        <v>906</v>
      </c>
      <c r="D222" s="447" t="str">
        <f>IFERROR(INDEX('Base de datos gestión'!$D$28:$D$50,MATCH(C221,'Base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22" s="447" t="str">
        <f>IFERROR(INDEX('Base de datos gestión'!$E$28:$E$50,MATCH(C221,'Base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22" s="476" t="s">
        <v>445</v>
      </c>
      <c r="G222" s="475" t="s">
        <v>919</v>
      </c>
      <c r="H222" s="475" t="s">
        <v>920</v>
      </c>
      <c r="I222" s="475" t="s">
        <v>921</v>
      </c>
      <c r="J222" s="481" t="s">
        <v>238</v>
      </c>
      <c r="K222" s="497" t="s">
        <v>258</v>
      </c>
      <c r="L222" s="476">
        <v>12</v>
      </c>
      <c r="M222" s="450" t="str">
        <f t="shared" si="66"/>
        <v>Baja</v>
      </c>
      <c r="N222" s="451">
        <f t="shared" si="74"/>
        <v>0.4</v>
      </c>
      <c r="O222" s="452" t="s">
        <v>597</v>
      </c>
      <c r="P222" s="451" t="str">
        <f>IF(NOT(ISERROR(MATCH(O222,'Tabla Impacto'!$B$222:$B$224,0))),'Tabla Impacto'!$F$224&amp;"Por favor no seleccionar los criterios de impacto(Afectación Económica o presupuestal y Pérdida Reputacional)",O222)</f>
        <v xml:space="preserve">     Entre 10 y 50 SMLMV </v>
      </c>
      <c r="Q222" s="453" t="str">
        <f>IF(OR(P222='[1]Tabla Impacto'!$C$12,P222='[1]Tabla Impacto'!$D$12),"Leve",IF(OR(P222='[1]Tabla Impacto'!$C$13,P222='[1]Tabla Impacto'!$D$13),"Menor",IF(OR(P222='[1]Tabla Impacto'!$C$14,P222='[1]Tabla Impacto'!$D$14),"Moderado",IF(OR(P222='[1]Tabla Impacto'!$C$15,P222='[1]Tabla Impacto'!$D$15),"Mayor",IF(OR(P222='[1]Tabla Impacto'!$C$16,P222='[1]Tabla Impacto'!$D$16),"Catastrófico","")))))</f>
        <v>Menor</v>
      </c>
      <c r="R222" s="452">
        <f t="shared" si="67"/>
        <v>0.4</v>
      </c>
      <c r="S222" s="454" t="str">
        <f t="shared" si="68"/>
        <v>Moderado</v>
      </c>
      <c r="T222" s="457">
        <v>1</v>
      </c>
      <c r="U222" s="477" t="s">
        <v>922</v>
      </c>
      <c r="V222" s="457" t="str">
        <f t="shared" ref="V222:V261" si="80">IF(OR(W222="Preventivo",W222="Detectivo"),"Probabilidad",IF(W222="Correctivo","Impacto",""))</f>
        <v>Probabilidad</v>
      </c>
      <c r="W222" s="458" t="s">
        <v>187</v>
      </c>
      <c r="X222" s="458" t="s">
        <v>188</v>
      </c>
      <c r="Y222" s="459" t="str">
        <f t="shared" si="75"/>
        <v>40%</v>
      </c>
      <c r="Z222" s="458" t="s">
        <v>222</v>
      </c>
      <c r="AA222" s="458" t="s">
        <v>190</v>
      </c>
      <c r="AB222" s="458" t="s">
        <v>191</v>
      </c>
      <c r="AC222" s="460">
        <f>IFERROR(IF(AND(V221="Probabilidad",V222="Probabilidad"),(AE221-(+AE221*Y222)),IF(AND(V221="Impacto",V222="Probabilidad"),(AE220-(+AE220*Y222)),IF(V222="Impacto",AE221,""))),"")</f>
        <v>9.8783999999999983E-2</v>
      </c>
      <c r="AD222" s="461" t="str">
        <f t="shared" si="76"/>
        <v>Muy Baja</v>
      </c>
      <c r="AE222" s="462">
        <f t="shared" si="77"/>
        <v>9.8783999999999983E-2</v>
      </c>
      <c r="AF222" s="461" t="str">
        <f t="shared" si="78"/>
        <v>Moderado</v>
      </c>
      <c r="AG222" s="462">
        <f>IFERROR(IF(AND(V221="Impacto",V222="Impacto"),(AG221-(+AG221*Y222)),IF(AND(V221="Probabilidad",V222="Impacto"),(AG220-(+AG220*Y222)),IF(V222="Probabilidad",AG221,""))),"")</f>
        <v>0.6</v>
      </c>
      <c r="AH222" s="463" t="str">
        <f t="shared" si="79"/>
        <v>Moderado</v>
      </c>
      <c r="AI222" s="464" t="s">
        <v>192</v>
      </c>
      <c r="AJ222" s="465"/>
      <c r="AK222" s="465"/>
      <c r="AL222" s="466"/>
      <c r="AM222" s="467"/>
      <c r="AN222" s="468"/>
    </row>
    <row r="223" spans="1:40" ht="409.5" x14ac:dyDescent="0.2">
      <c r="A223" s="478">
        <v>100</v>
      </c>
      <c r="B223" s="478" t="s">
        <v>923</v>
      </c>
      <c r="C223" s="479" t="s">
        <v>906</v>
      </c>
      <c r="D223" s="447" t="str">
        <f>IFERROR(INDEX('Base de datos gestión'!$D$28:$D$50,MATCH(C222,'Base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23" s="447" t="str">
        <f>IFERROR(INDEX('Base de datos gestión'!$E$28:$E$50,MATCH(C222,'Base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23" s="510" t="s">
        <v>445</v>
      </c>
      <c r="G223" s="511" t="s">
        <v>924</v>
      </c>
      <c r="H223" s="510" t="s">
        <v>925</v>
      </c>
      <c r="I223" s="474" t="s">
        <v>926</v>
      </c>
      <c r="J223" s="481" t="s">
        <v>238</v>
      </c>
      <c r="K223" s="499" t="s">
        <v>258</v>
      </c>
      <c r="L223" s="476">
        <v>300</v>
      </c>
      <c r="M223" s="450" t="str">
        <f t="shared" si="66"/>
        <v>Media</v>
      </c>
      <c r="N223" s="451">
        <f t="shared" si="74"/>
        <v>0.6</v>
      </c>
      <c r="O223" s="452" t="s">
        <v>597</v>
      </c>
      <c r="P223" s="451" t="str">
        <f>IF(NOT(ISERROR(MATCH(O223,'Tabla Impacto'!$B$222:$B$224,0))),'Tabla Impacto'!$F$224&amp;"Por favor no seleccionar los criterios de impacto(Afectación Económica o presupuestal y Pérdida Reputacional)",O223)</f>
        <v xml:space="preserve">     Entre 10 y 50 SMLMV </v>
      </c>
      <c r="Q223" s="453" t="str">
        <f>IF(OR(P223='[1]Tabla Impacto'!$C$12,P223='[1]Tabla Impacto'!$D$12),"Leve",IF(OR(P223='[1]Tabla Impacto'!$C$13,P223='[1]Tabla Impacto'!$D$13),"Menor",IF(OR(P223='[1]Tabla Impacto'!$C$14,P223='[1]Tabla Impacto'!$D$14),"Moderado",IF(OR(P223='[1]Tabla Impacto'!$C$15,P223='[1]Tabla Impacto'!$D$15),"Mayor",IF(OR(P223='[1]Tabla Impacto'!$C$16,P223='[1]Tabla Impacto'!$D$16),"Catastrófico","")))))</f>
        <v>Menor</v>
      </c>
      <c r="R223" s="452">
        <f t="shared" si="67"/>
        <v>0.4</v>
      </c>
      <c r="S223" s="454" t="str">
        <f t="shared" si="68"/>
        <v>Moderado</v>
      </c>
      <c r="T223" s="457">
        <v>1</v>
      </c>
      <c r="U223" s="477" t="s">
        <v>927</v>
      </c>
      <c r="V223" s="457" t="str">
        <f t="shared" si="80"/>
        <v>Probabilidad</v>
      </c>
      <c r="W223" s="458" t="s">
        <v>228</v>
      </c>
      <c r="X223" s="458" t="s">
        <v>188</v>
      </c>
      <c r="Y223" s="459" t="str">
        <f t="shared" si="75"/>
        <v>30%</v>
      </c>
      <c r="Z223" s="458" t="s">
        <v>222</v>
      </c>
      <c r="AA223" s="458" t="s">
        <v>190</v>
      </c>
      <c r="AB223" s="458" t="s">
        <v>191</v>
      </c>
      <c r="AC223" s="460">
        <f>IFERROR(IF(AND(V222="Probabilidad",V223="Probabilidad"),(AE222-(+AE222*Y223)),IF(AND(V222="Impacto",V223="Probabilidad"),(AE221-(+AE221*Y223)),IF(V223="Impacto",AE222,""))),"")</f>
        <v>6.9148799999999983E-2</v>
      </c>
      <c r="AD223" s="461" t="str">
        <f t="shared" si="76"/>
        <v>Muy Baja</v>
      </c>
      <c r="AE223" s="462">
        <f t="shared" si="77"/>
        <v>6.9148799999999983E-2</v>
      </c>
      <c r="AF223" s="461" t="str">
        <f t="shared" si="78"/>
        <v>Moderado</v>
      </c>
      <c r="AG223" s="462">
        <f>IFERROR(IF(AND(V222="Impacto",V223="Impacto"),(AG222-(+AG222*Y223)),IF(AND(V222="Probabilidad",V223="Impacto"),(AG221-(+AG221*Y223)),IF(V223="Probabilidad",AG222,""))),"")</f>
        <v>0.6</v>
      </c>
      <c r="AH223" s="463" t="str">
        <f t="shared" si="79"/>
        <v>Moderado</v>
      </c>
      <c r="AI223" s="464" t="s">
        <v>192</v>
      </c>
      <c r="AJ223" s="465"/>
      <c r="AK223" s="465"/>
      <c r="AL223" s="466"/>
      <c r="AM223" s="467"/>
      <c r="AN223" s="468"/>
    </row>
    <row r="224" spans="1:40" ht="409.5" x14ac:dyDescent="0.2">
      <c r="A224" s="446">
        <v>100</v>
      </c>
      <c r="B224" s="446" t="s">
        <v>923</v>
      </c>
      <c r="C224" s="447" t="s">
        <v>906</v>
      </c>
      <c r="D224" s="447" t="str">
        <f>IFERROR(INDEX('Base de datos gestión'!$D$28:$D$50,MATCH(C223,'Base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24" s="447" t="str">
        <f>IFERROR(INDEX('Base de datos gestión'!$E$28:$E$50,MATCH(C223,'Base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24" s="510" t="s">
        <v>445</v>
      </c>
      <c r="G224" s="511" t="s">
        <v>924</v>
      </c>
      <c r="H224" s="510" t="s">
        <v>925</v>
      </c>
      <c r="I224" s="474" t="s">
        <v>926</v>
      </c>
      <c r="J224" s="481" t="s">
        <v>238</v>
      </c>
      <c r="K224" s="499" t="s">
        <v>258</v>
      </c>
      <c r="L224" s="476">
        <v>300</v>
      </c>
      <c r="M224" s="450" t="str">
        <f t="shared" si="66"/>
        <v>Media</v>
      </c>
      <c r="N224" s="451">
        <f t="shared" si="74"/>
        <v>0.6</v>
      </c>
      <c r="O224" s="452" t="s">
        <v>597</v>
      </c>
      <c r="P224" s="451" t="str">
        <f>IF(NOT(ISERROR(MATCH(O224,'Tabla Impacto'!$B$222:$B$224,0))),'Tabla Impacto'!$F$224&amp;"Por favor no seleccionar los criterios de impacto(Afectación Económica o presupuestal y Pérdida Reputacional)",O224)</f>
        <v xml:space="preserve">     Entre 10 y 50 SMLMV </v>
      </c>
      <c r="Q224" s="453" t="str">
        <f>IF(OR(P224='[1]Tabla Impacto'!$C$12,P224='[1]Tabla Impacto'!$D$12),"Leve",IF(OR(P224='[1]Tabla Impacto'!$C$13,P224='[1]Tabla Impacto'!$D$13),"Menor",IF(OR(P224='[1]Tabla Impacto'!$C$14,P224='[1]Tabla Impacto'!$D$14),"Moderado",IF(OR(P224='[1]Tabla Impacto'!$C$15,P224='[1]Tabla Impacto'!$D$15),"Mayor",IF(OR(P224='[1]Tabla Impacto'!$C$16,P224='[1]Tabla Impacto'!$D$16),"Catastrófico","")))))</f>
        <v>Menor</v>
      </c>
      <c r="R224" s="452">
        <f t="shared" si="67"/>
        <v>0.4</v>
      </c>
      <c r="S224" s="454" t="str">
        <f t="shared" si="68"/>
        <v>Moderado</v>
      </c>
      <c r="T224" s="457">
        <v>2</v>
      </c>
      <c r="U224" s="477" t="s">
        <v>928</v>
      </c>
      <c r="V224" s="457" t="str">
        <f t="shared" si="80"/>
        <v>Probabilidad</v>
      </c>
      <c r="W224" s="458" t="s">
        <v>187</v>
      </c>
      <c r="X224" s="458" t="s">
        <v>188</v>
      </c>
      <c r="Y224" s="459" t="str">
        <f t="shared" si="75"/>
        <v>40%</v>
      </c>
      <c r="Z224" s="458" t="s">
        <v>222</v>
      </c>
      <c r="AA224" s="458" t="s">
        <v>190</v>
      </c>
      <c r="AB224" s="458" t="s">
        <v>191</v>
      </c>
      <c r="AC224" s="460">
        <f>IFERROR(IF(V224="Probabilidad",(N224-(+N224*Y224)),IF(V224="Impacto",N224,"")),"")</f>
        <v>0.36</v>
      </c>
      <c r="AD224" s="461" t="str">
        <f t="shared" si="76"/>
        <v>Baja</v>
      </c>
      <c r="AE224" s="462">
        <f t="shared" si="77"/>
        <v>0.36</v>
      </c>
      <c r="AF224" s="461" t="str">
        <f t="shared" si="78"/>
        <v>Menor</v>
      </c>
      <c r="AG224" s="462">
        <f>IFERROR(IF(V224="Impacto",(R224-(+R224*Y224)),IF(V224="Probabilidad",R224,"")),"")</f>
        <v>0.4</v>
      </c>
      <c r="AH224" s="463" t="str">
        <f t="shared" si="79"/>
        <v>Moderado</v>
      </c>
      <c r="AI224" s="464" t="s">
        <v>192</v>
      </c>
      <c r="AJ224" s="465"/>
      <c r="AK224" s="465"/>
      <c r="AL224" s="466"/>
      <c r="AM224" s="467"/>
      <c r="AN224" s="468"/>
    </row>
    <row r="225" spans="1:40" ht="409.5" x14ac:dyDescent="0.2">
      <c r="A225" s="469">
        <v>101</v>
      </c>
      <c r="B225" s="469" t="s">
        <v>929</v>
      </c>
      <c r="C225" s="470" t="s">
        <v>906</v>
      </c>
      <c r="D225" s="447" t="str">
        <f>IFERROR(INDEX('Base de datos gestión'!$D$28:$D$50,MATCH(C224,'Base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25" s="447" t="str">
        <f>IFERROR(INDEX('Base de datos gestión'!$E$28:$E$50,MATCH(C224,'Base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25" s="476" t="s">
        <v>445</v>
      </c>
      <c r="G225" s="509" t="s">
        <v>930</v>
      </c>
      <c r="H225" s="509" t="s">
        <v>931</v>
      </c>
      <c r="I225" s="477" t="s">
        <v>932</v>
      </c>
      <c r="J225" s="481" t="s">
        <v>238</v>
      </c>
      <c r="K225" s="497" t="s">
        <v>258</v>
      </c>
      <c r="L225" s="476">
        <v>6</v>
      </c>
      <c r="M225" s="450" t="str">
        <f t="shared" si="66"/>
        <v>Baja</v>
      </c>
      <c r="N225" s="451">
        <f t="shared" si="74"/>
        <v>0.4</v>
      </c>
      <c r="O225" s="452" t="s">
        <v>597</v>
      </c>
      <c r="P225" s="451" t="str">
        <f>IF(NOT(ISERROR(MATCH(O225,'Tabla Impacto'!$B$222:$B$224,0))),'Tabla Impacto'!$F$224&amp;"Por favor no seleccionar los criterios de impacto(Afectación Económica o presupuestal y Pérdida Reputacional)",O225)</f>
        <v xml:space="preserve">     Entre 10 y 50 SMLMV </v>
      </c>
      <c r="Q225" s="453" t="str">
        <f>IF(OR(P225='[1]Tabla Impacto'!$C$12,P225='[1]Tabla Impacto'!$D$12),"Leve",IF(OR(P225='[1]Tabla Impacto'!$C$13,P225='[1]Tabla Impacto'!$D$13),"Menor",IF(OR(P225='[1]Tabla Impacto'!$C$14,P225='[1]Tabla Impacto'!$D$14),"Moderado",IF(OR(P225='[1]Tabla Impacto'!$C$15,P225='[1]Tabla Impacto'!$D$15),"Mayor",IF(OR(P225='[1]Tabla Impacto'!$C$16,P225='[1]Tabla Impacto'!$D$16),"Catastrófico","")))))</f>
        <v>Menor</v>
      </c>
      <c r="R225" s="452">
        <f t="shared" si="67"/>
        <v>0.4</v>
      </c>
      <c r="S225" s="454" t="str">
        <f t="shared" si="68"/>
        <v>Moderado</v>
      </c>
      <c r="T225" s="457">
        <v>1</v>
      </c>
      <c r="U225" s="477" t="s">
        <v>933</v>
      </c>
      <c r="V225" s="457" t="str">
        <f t="shared" si="80"/>
        <v>Probabilidad</v>
      </c>
      <c r="W225" s="458" t="s">
        <v>187</v>
      </c>
      <c r="X225" s="458" t="s">
        <v>188</v>
      </c>
      <c r="Y225" s="459" t="str">
        <f t="shared" si="75"/>
        <v>40%</v>
      </c>
      <c r="Z225" s="458" t="s">
        <v>222</v>
      </c>
      <c r="AA225" s="458" t="s">
        <v>190</v>
      </c>
      <c r="AB225" s="458" t="s">
        <v>191</v>
      </c>
      <c r="AC225" s="460">
        <f>IFERROR(IF(AND(V224="Probabilidad",V225="Probabilidad"),(AE224-(+AE224*Y225)),IF(V225="Probabilidad",(N224-(+N224*Y225)),IF(V225="Impacto",AE224,""))),"")</f>
        <v>0.216</v>
      </c>
      <c r="AD225" s="461" t="str">
        <f t="shared" si="76"/>
        <v>Baja</v>
      </c>
      <c r="AE225" s="462">
        <f t="shared" si="77"/>
        <v>0.216</v>
      </c>
      <c r="AF225" s="461" t="str">
        <f t="shared" si="78"/>
        <v>Moderado</v>
      </c>
      <c r="AG225" s="462">
        <f>IFERROR(IF(AND(V224="Impacto",V225="Impacto"),(AG218-(+AG218*Y225)),IF(V225="Impacto",($R$56-(+$R$56*Y225)),IF(V225="Probabilidad",AG218,""))),"")</f>
        <v>0.6</v>
      </c>
      <c r="AH225" s="463" t="str">
        <f t="shared" si="79"/>
        <v>Moderado</v>
      </c>
      <c r="AI225" s="464" t="s">
        <v>192</v>
      </c>
      <c r="AJ225" s="465"/>
      <c r="AK225" s="465"/>
      <c r="AL225" s="466"/>
      <c r="AM225" s="467"/>
      <c r="AN225" s="468"/>
    </row>
    <row r="226" spans="1:40" ht="409.5" x14ac:dyDescent="0.2">
      <c r="A226" s="469">
        <v>102</v>
      </c>
      <c r="B226" s="469" t="s">
        <v>934</v>
      </c>
      <c r="C226" s="470" t="s">
        <v>906</v>
      </c>
      <c r="D226" s="447" t="str">
        <f>IFERROR(INDEX('Base de datos gestión'!$D$28:$D$50,MATCH(C225,'Base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26" s="447" t="str">
        <f>IFERROR(INDEX('Base de datos gestión'!$E$28:$E$50,MATCH(C225,'Base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26" s="512" t="s">
        <v>445</v>
      </c>
      <c r="G226" s="509" t="s">
        <v>935</v>
      </c>
      <c r="H226" s="512" t="s">
        <v>936</v>
      </c>
      <c r="I226" s="477" t="s">
        <v>937</v>
      </c>
      <c r="J226" s="481" t="s">
        <v>238</v>
      </c>
      <c r="K226" s="499" t="s">
        <v>258</v>
      </c>
      <c r="L226" s="476">
        <v>1500</v>
      </c>
      <c r="M226" s="450" t="str">
        <f t="shared" si="66"/>
        <v>Alta</v>
      </c>
      <c r="N226" s="451">
        <f t="shared" si="74"/>
        <v>0.8</v>
      </c>
      <c r="O226" s="452" t="s">
        <v>597</v>
      </c>
      <c r="P226" s="451" t="str">
        <f>IF(NOT(ISERROR(MATCH(O226,'Tabla Impacto'!$B$222:$B$224,0))),'Tabla Impacto'!$F$224&amp;"Por favor no seleccionar los criterios de impacto(Afectación Económica o presupuestal y Pérdida Reputacional)",O226)</f>
        <v xml:space="preserve">     Entre 10 y 50 SMLMV </v>
      </c>
      <c r="Q226" s="453" t="str">
        <f>IF(OR(P226='[1]Tabla Impacto'!$C$12,P226='[1]Tabla Impacto'!$D$12),"Leve",IF(OR(P226='[1]Tabla Impacto'!$C$13,P226='[1]Tabla Impacto'!$D$13),"Menor",IF(OR(P226='[1]Tabla Impacto'!$C$14,P226='[1]Tabla Impacto'!$D$14),"Moderado",IF(OR(P226='[1]Tabla Impacto'!$C$15,P226='[1]Tabla Impacto'!$D$15),"Mayor",IF(OR(P226='[1]Tabla Impacto'!$C$16,P226='[1]Tabla Impacto'!$D$16),"Catastrófico","")))))</f>
        <v>Menor</v>
      </c>
      <c r="R226" s="452">
        <f t="shared" si="67"/>
        <v>0.4</v>
      </c>
      <c r="S226" s="454" t="str">
        <f t="shared" si="68"/>
        <v>Moderado</v>
      </c>
      <c r="T226" s="457">
        <v>1</v>
      </c>
      <c r="U226" s="477" t="s">
        <v>938</v>
      </c>
      <c r="V226" s="457" t="str">
        <f t="shared" si="80"/>
        <v>Probabilidad</v>
      </c>
      <c r="W226" s="458" t="s">
        <v>187</v>
      </c>
      <c r="X226" s="458" t="s">
        <v>188</v>
      </c>
      <c r="Y226" s="459" t="str">
        <f t="shared" si="75"/>
        <v>40%</v>
      </c>
      <c r="Z226" s="458" t="s">
        <v>222</v>
      </c>
      <c r="AA226" s="458" t="s">
        <v>190</v>
      </c>
      <c r="AB226" s="458" t="s">
        <v>191</v>
      </c>
      <c r="AC226" s="460">
        <f>IFERROR(IF(AND(V225="Probabilidad",V226="Probabilidad"),(AE225-(+AE225*Y226)),IF(AND(V225="Impacto",V226="Probabilidad"),(AE224-(+AE224*Y226)),IF(V226="Impacto",AE225,""))),"")</f>
        <v>0.12959999999999999</v>
      </c>
      <c r="AD226" s="461" t="str">
        <f t="shared" si="76"/>
        <v>Muy Baja</v>
      </c>
      <c r="AE226" s="462">
        <f t="shared" si="77"/>
        <v>0.12959999999999999</v>
      </c>
      <c r="AF226" s="461" t="str">
        <f t="shared" si="78"/>
        <v>Moderado</v>
      </c>
      <c r="AG226" s="462">
        <f>IFERROR(IF(AND(V225="Impacto",V226="Impacto"),(AG225-(+AG225*Y226)),IF(AND(V225="Probabilidad",V226="Impacto"),(AG224-(+AG224*Y226)),IF(V226="Probabilidad",AG225,""))),"")</f>
        <v>0.6</v>
      </c>
      <c r="AH226" s="463" t="str">
        <f t="shared" si="79"/>
        <v>Moderado</v>
      </c>
      <c r="AI226" s="464" t="s">
        <v>192</v>
      </c>
      <c r="AJ226" s="465"/>
      <c r="AK226" s="465"/>
      <c r="AL226" s="466"/>
      <c r="AM226" s="467"/>
      <c r="AN226" s="468"/>
    </row>
    <row r="227" spans="1:40" ht="409.5" x14ac:dyDescent="0.2">
      <c r="A227" s="469">
        <v>102</v>
      </c>
      <c r="B227" s="469" t="s">
        <v>934</v>
      </c>
      <c r="C227" s="470" t="s">
        <v>906</v>
      </c>
      <c r="D227" s="447" t="str">
        <f>IFERROR(INDEX('Base de datos gestión'!$D$28:$D$50,MATCH(C226,'Base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27" s="447" t="str">
        <f>IFERROR(INDEX('Base de datos gestión'!$E$28:$E$50,MATCH(C226,'Base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27" s="512" t="s">
        <v>445</v>
      </c>
      <c r="G227" s="509" t="s">
        <v>935</v>
      </c>
      <c r="H227" s="512" t="s">
        <v>936</v>
      </c>
      <c r="I227" s="477" t="s">
        <v>939</v>
      </c>
      <c r="J227" s="481" t="s">
        <v>238</v>
      </c>
      <c r="K227" s="499" t="s">
        <v>258</v>
      </c>
      <c r="L227" s="476">
        <v>1500</v>
      </c>
      <c r="M227" s="450" t="str">
        <f t="shared" si="66"/>
        <v>Alta</v>
      </c>
      <c r="N227" s="451">
        <f t="shared" si="74"/>
        <v>0.8</v>
      </c>
      <c r="O227" s="452" t="s">
        <v>597</v>
      </c>
      <c r="P227" s="451" t="str">
        <f>IF(NOT(ISERROR(MATCH(O227,'Tabla Impacto'!$B$222:$B$224,0))),'Tabla Impacto'!$F$224&amp;"Por favor no seleccionar los criterios de impacto(Afectación Económica o presupuestal y Pérdida Reputacional)",O227)</f>
        <v xml:space="preserve">     Entre 10 y 50 SMLMV </v>
      </c>
      <c r="Q227" s="453" t="str">
        <f>IF(OR(P227='[1]Tabla Impacto'!$C$12,P227='[1]Tabla Impacto'!$D$12),"Leve",IF(OR(P227='[1]Tabla Impacto'!$C$13,P227='[1]Tabla Impacto'!$D$13),"Menor",IF(OR(P227='[1]Tabla Impacto'!$C$14,P227='[1]Tabla Impacto'!$D$14),"Moderado",IF(OR(P227='[1]Tabla Impacto'!$C$15,P227='[1]Tabla Impacto'!$D$15),"Mayor",IF(OR(P227='[1]Tabla Impacto'!$C$16,P227='[1]Tabla Impacto'!$D$16),"Catastrófico","")))))</f>
        <v>Menor</v>
      </c>
      <c r="R227" s="452">
        <f t="shared" si="67"/>
        <v>0.4</v>
      </c>
      <c r="S227" s="454" t="str">
        <f t="shared" si="68"/>
        <v>Moderado</v>
      </c>
      <c r="T227" s="457">
        <v>2</v>
      </c>
      <c r="U227" s="477" t="s">
        <v>940</v>
      </c>
      <c r="V227" s="457" t="str">
        <f t="shared" si="80"/>
        <v>Probabilidad</v>
      </c>
      <c r="W227" s="458" t="s">
        <v>187</v>
      </c>
      <c r="X227" s="458" t="s">
        <v>188</v>
      </c>
      <c r="Y227" s="459" t="str">
        <f t="shared" si="75"/>
        <v>40%</v>
      </c>
      <c r="Z227" s="458" t="s">
        <v>222</v>
      </c>
      <c r="AA227" s="458" t="s">
        <v>190</v>
      </c>
      <c r="AB227" s="458" t="s">
        <v>191</v>
      </c>
      <c r="AC227" s="460">
        <f>IFERROR(IF(AND(V226="Probabilidad",V227="Probabilidad"),(AE226-(+AE226*Y227)),IF(AND(V226="Impacto",V227="Probabilidad"),(AE225-(+AE225*Y227)),IF(V227="Impacto",AE226,""))),"")</f>
        <v>7.7759999999999996E-2</v>
      </c>
      <c r="AD227" s="461" t="str">
        <f t="shared" si="76"/>
        <v>Muy Baja</v>
      </c>
      <c r="AE227" s="462">
        <f t="shared" si="77"/>
        <v>7.7759999999999996E-2</v>
      </c>
      <c r="AF227" s="461" t="str">
        <f t="shared" si="78"/>
        <v>Moderado</v>
      </c>
      <c r="AG227" s="462">
        <f>IFERROR(IF(AND(V226="Impacto",V227="Impacto"),(AG226-(+AG226*Y227)),IF(AND(V226="Probabilidad",V227="Impacto"),(AG225-(+AG225*Y227)),IF(V227="Probabilidad",AG226,""))),"")</f>
        <v>0.6</v>
      </c>
      <c r="AH227" s="463" t="str">
        <f t="shared" si="79"/>
        <v>Moderado</v>
      </c>
      <c r="AI227" s="464" t="s">
        <v>192</v>
      </c>
      <c r="AJ227" s="465"/>
      <c r="AK227" s="465"/>
      <c r="AL227" s="466"/>
      <c r="AM227" s="467"/>
      <c r="AN227" s="468"/>
    </row>
    <row r="228" spans="1:40" ht="409.5" x14ac:dyDescent="0.2">
      <c r="A228" s="469">
        <v>102</v>
      </c>
      <c r="B228" s="469" t="s">
        <v>934</v>
      </c>
      <c r="C228" s="470" t="s">
        <v>906</v>
      </c>
      <c r="D228" s="447" t="str">
        <f>IFERROR(INDEX('Base de datos gestión'!$D$28:$D$50,MATCH(C227,'Base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28" s="447" t="str">
        <f>IFERROR(INDEX('Base de datos gestión'!$E$28:$E$50,MATCH(C227,'Base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28" s="512" t="s">
        <v>445</v>
      </c>
      <c r="G228" s="509" t="s">
        <v>935</v>
      </c>
      <c r="H228" s="512" t="s">
        <v>936</v>
      </c>
      <c r="I228" s="477" t="s">
        <v>941</v>
      </c>
      <c r="J228" s="481" t="s">
        <v>238</v>
      </c>
      <c r="K228" s="499" t="s">
        <v>258</v>
      </c>
      <c r="L228" s="476">
        <v>1500</v>
      </c>
      <c r="M228" s="450" t="str">
        <f t="shared" ref="M228:M261" si="81">IF(L228&lt;=0,"",IF(L228&lt;=2,"Muy Baja",IF(L228&lt;=24,"Baja",IF(L228&lt;=500,"Media",IF(L228&lt;=5000,"Alta","Muy Alta")))))</f>
        <v>Alta</v>
      </c>
      <c r="N228" s="451">
        <f t="shared" si="74"/>
        <v>0.8</v>
      </c>
      <c r="O228" s="452" t="s">
        <v>597</v>
      </c>
      <c r="P228" s="451" t="str">
        <f>IF(NOT(ISERROR(MATCH(O228,'Tabla Impacto'!$B$222:$B$224,0))),'Tabla Impacto'!$F$224&amp;"Por favor no seleccionar los criterios de impacto(Afectación Económica o presupuestal y Pérdida Reputacional)",O228)</f>
        <v xml:space="preserve">     Entre 10 y 50 SMLMV </v>
      </c>
      <c r="Q228" s="453" t="str">
        <f>IF(OR(P228='[1]Tabla Impacto'!$C$12,P228='[1]Tabla Impacto'!$D$12),"Leve",IF(OR(P228='[1]Tabla Impacto'!$C$13,P228='[1]Tabla Impacto'!$D$13),"Menor",IF(OR(P228='[1]Tabla Impacto'!$C$14,P228='[1]Tabla Impacto'!$D$14),"Moderado",IF(OR(P228='[1]Tabla Impacto'!$C$15,P228='[1]Tabla Impacto'!$D$15),"Mayor",IF(OR(P228='[1]Tabla Impacto'!$C$16,P228='[1]Tabla Impacto'!$D$16),"Catastrófico","")))))</f>
        <v>Menor</v>
      </c>
      <c r="R228" s="452">
        <f t="shared" si="67"/>
        <v>0.4</v>
      </c>
      <c r="S228" s="454" t="str">
        <f t="shared" si="68"/>
        <v>Moderado</v>
      </c>
      <c r="T228" s="457">
        <v>3</v>
      </c>
      <c r="U228" s="477" t="s">
        <v>942</v>
      </c>
      <c r="V228" s="457" t="str">
        <f t="shared" si="80"/>
        <v>Probabilidad</v>
      </c>
      <c r="W228" s="458" t="s">
        <v>187</v>
      </c>
      <c r="X228" s="458" t="s">
        <v>188</v>
      </c>
      <c r="Y228" s="459" t="str">
        <f t="shared" si="75"/>
        <v>40%</v>
      </c>
      <c r="Z228" s="458" t="s">
        <v>222</v>
      </c>
      <c r="AA228" s="458" t="s">
        <v>190</v>
      </c>
      <c r="AB228" s="458" t="s">
        <v>191</v>
      </c>
      <c r="AC228" s="460">
        <f>IFERROR(IF(AND(V227="Probabilidad",V228="Probabilidad"),(AE227-(+AE227*Y228)),IF(AND(V227="Impacto",V228="Probabilidad"),(AE226-(+AE226*Y228)),IF(V228="Impacto",AE227,""))),"")</f>
        <v>4.6655999999999996E-2</v>
      </c>
      <c r="AD228" s="461" t="str">
        <f t="shared" si="76"/>
        <v>Muy Baja</v>
      </c>
      <c r="AE228" s="462">
        <f t="shared" si="77"/>
        <v>4.6655999999999996E-2</v>
      </c>
      <c r="AF228" s="461" t="str">
        <f t="shared" si="78"/>
        <v>Moderado</v>
      </c>
      <c r="AG228" s="462">
        <f>IFERROR(IF(AND(V227="Impacto",V228="Impacto"),(AG227-(+AG227*Y228)),IF(AND(V227="Probabilidad",V228="Impacto"),(AG226-(+AG226*Y228)),IF(V228="Probabilidad",AG227,""))),"")</f>
        <v>0.6</v>
      </c>
      <c r="AH228" s="463" t="str">
        <f t="shared" si="79"/>
        <v>Moderado</v>
      </c>
      <c r="AI228" s="464" t="s">
        <v>192</v>
      </c>
      <c r="AJ228" s="465"/>
      <c r="AK228" s="465"/>
      <c r="AL228" s="466"/>
      <c r="AM228" s="467"/>
      <c r="AN228" s="468"/>
    </row>
    <row r="229" spans="1:40" ht="409.5" x14ac:dyDescent="0.2">
      <c r="A229" s="478">
        <v>103</v>
      </c>
      <c r="B229" s="478" t="s">
        <v>943</v>
      </c>
      <c r="C229" s="479" t="s">
        <v>906</v>
      </c>
      <c r="D229" s="447" t="str">
        <f>IFERROR(INDEX('Base de datos gestión'!$D$28:$D$50,MATCH(C228,'Base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29" s="447" t="str">
        <f>IFERROR(INDEX('Base de datos gestión'!$E$28:$E$50,MATCH(C228,'Base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29" s="474" t="s">
        <v>234</v>
      </c>
      <c r="G229" s="475" t="s">
        <v>944</v>
      </c>
      <c r="H229" s="474" t="s">
        <v>945</v>
      </c>
      <c r="I229" s="474" t="s">
        <v>946</v>
      </c>
      <c r="J229" s="481" t="s">
        <v>238</v>
      </c>
      <c r="K229" s="476" t="s">
        <v>380</v>
      </c>
      <c r="L229" s="476">
        <v>2</v>
      </c>
      <c r="M229" s="450" t="str">
        <f t="shared" si="81"/>
        <v>Muy Baja</v>
      </c>
      <c r="N229" s="451">
        <f t="shared" si="74"/>
        <v>0.2</v>
      </c>
      <c r="O229" s="452" t="s">
        <v>597</v>
      </c>
      <c r="P229" s="451" t="str">
        <f>IF(NOT(ISERROR(MATCH(O229,'Tabla Impacto'!$B$222:$B$224,0))),'Tabla Impacto'!$F$224&amp;"Por favor no seleccionar los criterios de impacto(Afectación Económica o presupuestal y Pérdida Reputacional)",O229)</f>
        <v xml:space="preserve">     Entre 10 y 50 SMLMV </v>
      </c>
      <c r="Q229" s="453" t="str">
        <f>IF(OR(P229='[1]Tabla Impacto'!$C$12,P229='[1]Tabla Impacto'!$D$12),"Leve",IF(OR(P229='[1]Tabla Impacto'!$C$13,P229='[1]Tabla Impacto'!$D$13),"Menor",IF(OR(P229='[1]Tabla Impacto'!$C$14,P229='[1]Tabla Impacto'!$D$14),"Moderado",IF(OR(P229='[1]Tabla Impacto'!$C$15,P229='[1]Tabla Impacto'!$D$15),"Mayor",IF(OR(P229='[1]Tabla Impacto'!$C$16,P229='[1]Tabla Impacto'!$D$16),"Catastrófico","")))))</f>
        <v>Menor</v>
      </c>
      <c r="R229" s="452">
        <f t="shared" si="67"/>
        <v>0.4</v>
      </c>
      <c r="S229" s="454" t="str">
        <f t="shared" si="68"/>
        <v>Bajo</v>
      </c>
      <c r="T229" s="457">
        <v>1</v>
      </c>
      <c r="U229" s="477" t="s">
        <v>947</v>
      </c>
      <c r="V229" s="457" t="str">
        <f t="shared" si="80"/>
        <v>Probabilidad</v>
      </c>
      <c r="W229" s="458" t="s">
        <v>187</v>
      </c>
      <c r="X229" s="458" t="s">
        <v>188</v>
      </c>
      <c r="Y229" s="459" t="str">
        <f t="shared" si="75"/>
        <v>40%</v>
      </c>
      <c r="Z229" s="458" t="s">
        <v>222</v>
      </c>
      <c r="AA229" s="458" t="s">
        <v>202</v>
      </c>
      <c r="AB229" s="458" t="s">
        <v>191</v>
      </c>
      <c r="AC229" s="460">
        <f>IFERROR(IF(AND(V228="Probabilidad",V229="Probabilidad"),(AE228-(+AE228*Y229)),IF(AND(V228="Impacto",V229="Probabilidad"),(AE227-(+AE227*Y229)),IF(V229="Impacto",AE228,""))),"")</f>
        <v>2.7993599999999997E-2</v>
      </c>
      <c r="AD229" s="461" t="str">
        <f t="shared" si="76"/>
        <v>Muy Baja</v>
      </c>
      <c r="AE229" s="462">
        <f t="shared" si="77"/>
        <v>2.7993599999999997E-2</v>
      </c>
      <c r="AF229" s="461" t="str">
        <f t="shared" si="78"/>
        <v>Moderado</v>
      </c>
      <c r="AG229" s="462">
        <f>IFERROR(IF(AND(V228="Impacto",V229="Impacto"),(AG228-(+AG228*Y229)),IF(AND(V228="Probabilidad",V229="Impacto"),(AG227-(+AG227*Y229)),IF(V229="Probabilidad",AG228,""))),"")</f>
        <v>0.6</v>
      </c>
      <c r="AH229" s="463" t="str">
        <f t="shared" si="79"/>
        <v>Moderado</v>
      </c>
      <c r="AI229" s="464" t="s">
        <v>192</v>
      </c>
      <c r="AJ229" s="465"/>
      <c r="AK229" s="465"/>
      <c r="AL229" s="466"/>
      <c r="AM229" s="467"/>
      <c r="AN229" s="468"/>
    </row>
    <row r="230" spans="1:40" ht="409.5" x14ac:dyDescent="0.2">
      <c r="A230" s="446">
        <v>103</v>
      </c>
      <c r="B230" s="446" t="s">
        <v>943</v>
      </c>
      <c r="C230" s="447" t="s">
        <v>906</v>
      </c>
      <c r="D230" s="447" t="str">
        <f>IFERROR(INDEX('Base de datos gestión'!$D$28:$D$50,MATCH(C229,'Base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30" s="447" t="str">
        <f>IFERROR(INDEX('Base de datos gestión'!$E$28:$E$50,MATCH(C229,'Base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30" s="474" t="s">
        <v>234</v>
      </c>
      <c r="G230" s="475" t="s">
        <v>944</v>
      </c>
      <c r="H230" s="474" t="s">
        <v>945</v>
      </c>
      <c r="I230" s="474" t="s">
        <v>946</v>
      </c>
      <c r="J230" s="481" t="s">
        <v>238</v>
      </c>
      <c r="K230" s="476" t="s">
        <v>380</v>
      </c>
      <c r="L230" s="476">
        <v>2</v>
      </c>
      <c r="M230" s="450" t="str">
        <f t="shared" si="81"/>
        <v>Muy Baja</v>
      </c>
      <c r="N230" s="451">
        <f t="shared" si="74"/>
        <v>0.2</v>
      </c>
      <c r="O230" s="452" t="s">
        <v>597</v>
      </c>
      <c r="P230" s="451" t="str">
        <f>IF(NOT(ISERROR(MATCH(O230,'Tabla Impacto'!$B$222:$B$224,0))),'Tabla Impacto'!$F$224&amp;"Por favor no seleccionar los criterios de impacto(Afectación Económica o presupuestal y Pérdida Reputacional)",O230)</f>
        <v xml:space="preserve">     Entre 10 y 50 SMLMV </v>
      </c>
      <c r="Q230" s="453" t="str">
        <f>IF(OR(P230='[1]Tabla Impacto'!$C$12,P230='[1]Tabla Impacto'!$D$12),"Leve",IF(OR(P230='[1]Tabla Impacto'!$C$13,P230='[1]Tabla Impacto'!$D$13),"Menor",IF(OR(P230='[1]Tabla Impacto'!$C$14,P230='[1]Tabla Impacto'!$D$14),"Moderado",IF(OR(P230='[1]Tabla Impacto'!$C$15,P230='[1]Tabla Impacto'!$D$15),"Mayor",IF(OR(P230='[1]Tabla Impacto'!$C$16,P230='[1]Tabla Impacto'!$D$16),"Catastrófico","")))))</f>
        <v>Menor</v>
      </c>
      <c r="R230" s="452">
        <f t="shared" si="67"/>
        <v>0.4</v>
      </c>
      <c r="S230" s="454" t="str">
        <f t="shared" si="68"/>
        <v>Bajo</v>
      </c>
      <c r="T230" s="457">
        <v>2</v>
      </c>
      <c r="U230" s="477" t="s">
        <v>948</v>
      </c>
      <c r="V230" s="457" t="str">
        <f t="shared" si="80"/>
        <v>Probabilidad</v>
      </c>
      <c r="W230" s="458" t="s">
        <v>187</v>
      </c>
      <c r="X230" s="458" t="s">
        <v>188</v>
      </c>
      <c r="Y230" s="459" t="str">
        <f t="shared" si="75"/>
        <v>40%</v>
      </c>
      <c r="Z230" s="458" t="s">
        <v>222</v>
      </c>
      <c r="AA230" s="458" t="s">
        <v>202</v>
      </c>
      <c r="AB230" s="458" t="s">
        <v>191</v>
      </c>
      <c r="AC230" s="460">
        <f>IFERROR(IF(V230="Probabilidad",(N230-(+N230*Y230)),IF(V230="Impacto",N230,"")),"")</f>
        <v>0.12</v>
      </c>
      <c r="AD230" s="461" t="str">
        <f t="shared" si="76"/>
        <v>Muy Baja</v>
      </c>
      <c r="AE230" s="462">
        <f t="shared" si="77"/>
        <v>0.12</v>
      </c>
      <c r="AF230" s="461" t="str">
        <f t="shared" si="78"/>
        <v>Menor</v>
      </c>
      <c r="AG230" s="462">
        <f>IFERROR(IF(V230="Impacto",(R230-(+R230*Y230)),IF(V230="Probabilidad",R230,"")),"")</f>
        <v>0.4</v>
      </c>
      <c r="AH230" s="463" t="str">
        <f t="shared" si="79"/>
        <v>Bajo</v>
      </c>
      <c r="AI230" s="464" t="s">
        <v>192</v>
      </c>
      <c r="AJ230" s="465"/>
      <c r="AK230" s="465"/>
      <c r="AL230" s="466"/>
      <c r="AM230" s="467"/>
      <c r="AN230" s="468"/>
    </row>
    <row r="231" spans="1:40" ht="409.5" x14ac:dyDescent="0.2">
      <c r="A231" s="469">
        <v>104</v>
      </c>
      <c r="B231" s="469" t="s">
        <v>949</v>
      </c>
      <c r="C231" s="470" t="s">
        <v>906</v>
      </c>
      <c r="D231" s="447" t="str">
        <f>IFERROR(INDEX('Base de datos gestión'!$D$28:$D$50,MATCH(C230,'Base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31" s="447" t="str">
        <f>IFERROR(INDEX('Base de datos gestión'!$E$28:$E$50,MATCH(C230,'Base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31" s="474" t="s">
        <v>234</v>
      </c>
      <c r="G231" s="475" t="s">
        <v>950</v>
      </c>
      <c r="H231" s="474" t="s">
        <v>951</v>
      </c>
      <c r="I231" s="474" t="s">
        <v>952</v>
      </c>
      <c r="J231" s="481" t="s">
        <v>238</v>
      </c>
      <c r="K231" s="476" t="s">
        <v>331</v>
      </c>
      <c r="L231" s="476">
        <v>3</v>
      </c>
      <c r="M231" s="450" t="str">
        <f t="shared" si="81"/>
        <v>Baja</v>
      </c>
      <c r="N231" s="451">
        <f t="shared" si="74"/>
        <v>0.4</v>
      </c>
      <c r="O231" s="452" t="s">
        <v>597</v>
      </c>
      <c r="P231" s="451" t="str">
        <f>IF(NOT(ISERROR(MATCH(O231,'Tabla Impacto'!$B$222:$B$224,0))),'Tabla Impacto'!$F$224&amp;"Por favor no seleccionar los criterios de impacto(Afectación Económica o presupuestal y Pérdida Reputacional)",O231)</f>
        <v xml:space="preserve">     Entre 10 y 50 SMLMV </v>
      </c>
      <c r="Q231" s="453" t="str">
        <f>IF(OR(P231='[1]Tabla Impacto'!$C$12,P231='[1]Tabla Impacto'!$D$12),"Leve",IF(OR(P231='[1]Tabla Impacto'!$C$13,P231='[1]Tabla Impacto'!$D$13),"Menor",IF(OR(P231='[1]Tabla Impacto'!$C$14,P231='[1]Tabla Impacto'!$D$14),"Moderado",IF(OR(P231='[1]Tabla Impacto'!$C$15,P231='[1]Tabla Impacto'!$D$15),"Mayor",IF(OR(P231='[1]Tabla Impacto'!$C$16,P231='[1]Tabla Impacto'!$D$16),"Catastrófico","")))))</f>
        <v>Menor</v>
      </c>
      <c r="R231" s="452">
        <f t="shared" si="67"/>
        <v>0.4</v>
      </c>
      <c r="S231" s="454" t="str">
        <f t="shared" si="68"/>
        <v>Moderado</v>
      </c>
      <c r="T231" s="457">
        <v>1</v>
      </c>
      <c r="U231" s="477" t="s">
        <v>953</v>
      </c>
      <c r="V231" s="457" t="str">
        <f t="shared" si="80"/>
        <v>Probabilidad</v>
      </c>
      <c r="W231" s="458" t="s">
        <v>187</v>
      </c>
      <c r="X231" s="458" t="s">
        <v>188</v>
      </c>
      <c r="Y231" s="459" t="str">
        <f t="shared" si="75"/>
        <v>40%</v>
      </c>
      <c r="Z231" s="458" t="s">
        <v>222</v>
      </c>
      <c r="AA231" s="458" t="s">
        <v>202</v>
      </c>
      <c r="AB231" s="458" t="s">
        <v>191</v>
      </c>
      <c r="AC231" s="460">
        <f>IFERROR(IF(AND(V230="Probabilidad",V231="Probabilidad"),(AE230-(+AE230*Y231)),IF(V231="Probabilidad",(N230-(+N230*Y231)),IF(V231="Impacto",AE230,""))),"")</f>
        <v>7.1999999999999995E-2</v>
      </c>
      <c r="AD231" s="461" t="str">
        <f t="shared" si="76"/>
        <v>Muy Baja</v>
      </c>
      <c r="AE231" s="462">
        <f t="shared" si="77"/>
        <v>7.1999999999999995E-2</v>
      </c>
      <c r="AF231" s="461" t="str">
        <f t="shared" si="78"/>
        <v>Menor</v>
      </c>
      <c r="AG231" s="462">
        <f>IFERROR(IF(AND(V230="Impacto",V231="Impacto"),(AG224-(+AG224*Y231)),IF(V231="Impacto",($R$50-(+$R$50*Y231)),IF(V231="Probabilidad",AG224,""))),"")</f>
        <v>0.4</v>
      </c>
      <c r="AH231" s="463" t="str">
        <f t="shared" si="79"/>
        <v>Bajo</v>
      </c>
      <c r="AI231" s="464" t="s">
        <v>192</v>
      </c>
      <c r="AJ231" s="465"/>
      <c r="AK231" s="465"/>
      <c r="AL231" s="466"/>
      <c r="AM231" s="467"/>
      <c r="AN231" s="468"/>
    </row>
    <row r="232" spans="1:40" ht="409.5" x14ac:dyDescent="0.2">
      <c r="A232" s="469">
        <v>104</v>
      </c>
      <c r="B232" s="469" t="s">
        <v>949</v>
      </c>
      <c r="C232" s="470" t="s">
        <v>906</v>
      </c>
      <c r="D232" s="447" t="str">
        <f>IFERROR(INDEX('Base de datos gestión'!$D$28:$D$50,MATCH(C231,'Base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32" s="447" t="str">
        <f>IFERROR(INDEX('Base de datos gestión'!$E$28:$E$50,MATCH(C231,'Base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32" s="474" t="s">
        <v>234</v>
      </c>
      <c r="G232" s="475" t="s">
        <v>950</v>
      </c>
      <c r="H232" s="474" t="s">
        <v>951</v>
      </c>
      <c r="I232" s="474" t="s">
        <v>952</v>
      </c>
      <c r="J232" s="481" t="s">
        <v>238</v>
      </c>
      <c r="K232" s="476" t="s">
        <v>331</v>
      </c>
      <c r="L232" s="476">
        <v>3</v>
      </c>
      <c r="M232" s="450" t="str">
        <f t="shared" si="81"/>
        <v>Baja</v>
      </c>
      <c r="N232" s="451">
        <f t="shared" si="74"/>
        <v>0.4</v>
      </c>
      <c r="O232" s="452" t="s">
        <v>597</v>
      </c>
      <c r="P232" s="451" t="str">
        <f>IF(NOT(ISERROR(MATCH(O232,'Tabla Impacto'!$B$222:$B$224,0))),'Tabla Impacto'!$F$224&amp;"Por favor no seleccionar los criterios de impacto(Afectación Económica o presupuestal y Pérdida Reputacional)",O232)</f>
        <v xml:space="preserve">     Entre 10 y 50 SMLMV </v>
      </c>
      <c r="Q232" s="453" t="str">
        <f>IF(OR(P232='[1]Tabla Impacto'!$C$12,P232='[1]Tabla Impacto'!$D$12),"Leve",IF(OR(P232='[1]Tabla Impacto'!$C$13,P232='[1]Tabla Impacto'!$D$13),"Menor",IF(OR(P232='[1]Tabla Impacto'!$C$14,P232='[1]Tabla Impacto'!$D$14),"Moderado",IF(OR(P232='[1]Tabla Impacto'!$C$15,P232='[1]Tabla Impacto'!$D$15),"Mayor",IF(OR(P232='[1]Tabla Impacto'!$C$16,P232='[1]Tabla Impacto'!$D$16),"Catastrófico","")))))</f>
        <v>Menor</v>
      </c>
      <c r="R232" s="452">
        <f>IF(Q232="","",IF(Q232="Leve",0.2,IF(Q232="Menor",0.4,IF(Q232="Moderado",0.6,IF(Q232="Mayor",0.8,IF(Q232="Catastrófico",1,))))))</f>
        <v>0.4</v>
      </c>
      <c r="S232" s="454" t="str">
        <f>IF(OR(AND(M232="Muy Baja",Q232="Leve"),AND(M232="Muy Baja",Q232="Menor"),AND(M232="Baja",Q232="Leve")),"Bajo",IF(OR(AND(M232="Muy baja",Q232="Moderado"),AND(M232="Baja",Q232="Menor"),AND(M232="Baja",Q232="Moderado"),AND(M232="Media",Q232="Leve"),AND(M232="Media",Q232="Menor"),AND(M232="Media",Q232="Moderado"),AND(M232="Alta",Q232="Leve"),AND(M232="Alta",Q232="Menor")),"Moderado",IF(OR(AND(M232="Muy Baja",Q232="Mayor"),AND(M232="Baja",Q232="Mayor"),AND(M232="Media",Q232="Mayor"),AND(M232="Alta",Q232="Moderado"),AND(M232="Alta",Q232="Mayor"),AND(M232="Muy Alta",Q232="Leve"),AND(M232="Muy Alta",Q232="Menor"),AND(M232="Muy Alta",Q232="Moderado"),AND(M232="Muy Alta",Q232="Mayor")),"Alto",IF(OR(AND(M232="Muy Baja",Q232="Catastrófico"),AND(M232="Baja",Q232="Catastrófico"),AND(M232="Media",Q232="Catastrófico"),AND(M232="Alta",Q232="Catastrófico"),AND(M232="Muy Alta",Q232="Catastrófico")),"Extremo",""))))</f>
        <v>Moderado</v>
      </c>
      <c r="T232" s="457">
        <v>2</v>
      </c>
      <c r="U232" s="477" t="s">
        <v>954</v>
      </c>
      <c r="V232" s="457" t="str">
        <f t="shared" si="80"/>
        <v>Probabilidad</v>
      </c>
      <c r="W232" s="458" t="s">
        <v>187</v>
      </c>
      <c r="X232" s="458" t="s">
        <v>188</v>
      </c>
      <c r="Y232" s="459" t="str">
        <f t="shared" si="75"/>
        <v>40%</v>
      </c>
      <c r="Z232" s="458" t="s">
        <v>222</v>
      </c>
      <c r="AA232" s="458" t="s">
        <v>202</v>
      </c>
      <c r="AB232" s="458" t="s">
        <v>191</v>
      </c>
      <c r="AC232" s="460">
        <f>IFERROR(IF(AND(V231="Probabilidad",V232="Probabilidad"),(AE231-(+AE231*Y232)),IF(AND(V231="Impacto",V232="Probabilidad"),(AE230-(+AE230*Y232)),IF(V232="Impacto",AE231,""))),"")</f>
        <v>4.3199999999999995E-2</v>
      </c>
      <c r="AD232" s="461" t="str">
        <f t="shared" si="76"/>
        <v>Muy Baja</v>
      </c>
      <c r="AE232" s="462">
        <f t="shared" si="77"/>
        <v>4.3199999999999995E-2</v>
      </c>
      <c r="AF232" s="461" t="str">
        <f t="shared" si="78"/>
        <v>Menor</v>
      </c>
      <c r="AG232" s="462">
        <f>IFERROR(IF(AND(V231="Impacto",V232="Impacto"),(AG231-(+AG231*Y232)),IF(AND(V231="Probabilidad",V232="Impacto"),(AG230-(+AG230*Y232)),IF(V232="Probabilidad",AG231,""))),"")</f>
        <v>0.4</v>
      </c>
      <c r="AH232" s="463" t="str">
        <f t="shared" si="79"/>
        <v>Bajo</v>
      </c>
      <c r="AI232" s="464" t="s">
        <v>192</v>
      </c>
      <c r="AJ232" s="465"/>
      <c r="AK232" s="465"/>
      <c r="AL232" s="466"/>
      <c r="AM232" s="467"/>
      <c r="AN232" s="468"/>
    </row>
    <row r="233" spans="1:40" ht="409.5" x14ac:dyDescent="0.2">
      <c r="A233" s="469">
        <v>104</v>
      </c>
      <c r="B233" s="469" t="s">
        <v>949</v>
      </c>
      <c r="C233" s="470" t="s">
        <v>906</v>
      </c>
      <c r="D233" s="447" t="str">
        <f>IFERROR(INDEX('Base de datos gestión'!$D$28:$D$50,MATCH(C232,'Base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33" s="447" t="str">
        <f>IFERROR(INDEX('Base de datos gestión'!$E$28:$E$50,MATCH(C232,'Base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33" s="474" t="s">
        <v>234</v>
      </c>
      <c r="G233" s="475" t="s">
        <v>950</v>
      </c>
      <c r="H233" s="474" t="s">
        <v>951</v>
      </c>
      <c r="I233" s="474" t="s">
        <v>952</v>
      </c>
      <c r="J233" s="481" t="s">
        <v>238</v>
      </c>
      <c r="K233" s="476" t="s">
        <v>331</v>
      </c>
      <c r="L233" s="476">
        <v>3</v>
      </c>
      <c r="M233" s="450" t="str">
        <f t="shared" si="81"/>
        <v>Baja</v>
      </c>
      <c r="N233" s="451">
        <f t="shared" si="74"/>
        <v>0.4</v>
      </c>
      <c r="O233" s="452" t="s">
        <v>597</v>
      </c>
      <c r="P233" s="451" t="str">
        <f>IF(NOT(ISERROR(MATCH(O233,'Tabla Impacto'!$B$222:$B$224,0))),'Tabla Impacto'!$F$224&amp;"Por favor no seleccionar los criterios de impacto(Afectación Económica o presupuestal y Pérdida Reputacional)",O233)</f>
        <v xml:space="preserve">     Entre 10 y 50 SMLMV </v>
      </c>
      <c r="Q233" s="453" t="str">
        <f>IF(OR(P233='[1]Tabla Impacto'!$C$12,P233='[1]Tabla Impacto'!$D$12),"Leve",IF(OR(P233='[1]Tabla Impacto'!$C$13,P233='[1]Tabla Impacto'!$D$13),"Menor",IF(OR(P233='[1]Tabla Impacto'!$C$14,P233='[1]Tabla Impacto'!$D$14),"Moderado",IF(OR(P233='[1]Tabla Impacto'!$C$15,P233='[1]Tabla Impacto'!$D$15),"Mayor",IF(OR(P233='[1]Tabla Impacto'!$C$16,P233='[1]Tabla Impacto'!$D$16),"Catastrófico","")))))</f>
        <v>Menor</v>
      </c>
      <c r="R233" s="452">
        <f>IF(Q233="","",IF(Q233="Leve",0.2,IF(Q233="Menor",0.4,IF(Q233="Moderado",0.6,IF(Q233="Mayor",0.8,IF(Q233="Catastrófico",1,))))))</f>
        <v>0.4</v>
      </c>
      <c r="S233" s="454" t="str">
        <f>IF(OR(AND(M233="Muy Baja",Q233="Leve"),AND(M233="Muy Baja",Q233="Menor"),AND(M233="Baja",Q233="Leve")),"Bajo",IF(OR(AND(M233="Muy baja",Q233="Moderado"),AND(M233="Baja",Q233="Menor"),AND(M233="Baja",Q233="Moderado"),AND(M233="Media",Q233="Leve"),AND(M233="Media",Q233="Menor"),AND(M233="Media",Q233="Moderado"),AND(M233="Alta",Q233="Leve"),AND(M233="Alta",Q233="Menor")),"Moderado",IF(OR(AND(M233="Muy Baja",Q233="Mayor"),AND(M233="Baja",Q233="Mayor"),AND(M233="Media",Q233="Mayor"),AND(M233="Alta",Q233="Moderado"),AND(M233="Alta",Q233="Mayor"),AND(M233="Muy Alta",Q233="Leve"),AND(M233="Muy Alta",Q233="Menor"),AND(M233="Muy Alta",Q233="Moderado"),AND(M233="Muy Alta",Q233="Mayor")),"Alto",IF(OR(AND(M233="Muy Baja",Q233="Catastrófico"),AND(M233="Baja",Q233="Catastrófico"),AND(M233="Media",Q233="Catastrófico"),AND(M233="Alta",Q233="Catastrófico"),AND(M233="Muy Alta",Q233="Catastrófico")),"Extremo",""))))</f>
        <v>Moderado</v>
      </c>
      <c r="T233" s="457">
        <v>3</v>
      </c>
      <c r="U233" s="477" t="s">
        <v>955</v>
      </c>
      <c r="V233" s="457" t="str">
        <f t="shared" si="80"/>
        <v>Probabilidad</v>
      </c>
      <c r="W233" s="458" t="s">
        <v>187</v>
      </c>
      <c r="X233" s="458" t="s">
        <v>188</v>
      </c>
      <c r="Y233" s="459" t="str">
        <f t="shared" si="75"/>
        <v>40%</v>
      </c>
      <c r="Z233" s="458" t="s">
        <v>222</v>
      </c>
      <c r="AA233" s="458" t="s">
        <v>202</v>
      </c>
      <c r="AB233" s="458" t="s">
        <v>191</v>
      </c>
      <c r="AC233" s="460">
        <f>IFERROR(IF(AND(V232="Probabilidad",V233="Probabilidad"),(AE232-(+AE232*Y233)),IF(AND(V232="Impacto",V233="Probabilidad"),(AE231-(+AE231*Y233)),IF(V233="Impacto",AE232,""))),"")</f>
        <v>2.5919999999999995E-2</v>
      </c>
      <c r="AD233" s="461" t="str">
        <f t="shared" si="76"/>
        <v>Muy Baja</v>
      </c>
      <c r="AE233" s="462">
        <f t="shared" si="77"/>
        <v>2.5919999999999995E-2</v>
      </c>
      <c r="AF233" s="461" t="str">
        <f t="shared" si="78"/>
        <v>Menor</v>
      </c>
      <c r="AG233" s="462">
        <f>IFERROR(IF(AND(V232="Impacto",V233="Impacto"),(AG232-(+AG232*Y233)),IF(AND(V232="Probabilidad",V233="Impacto"),(AG231-(+AG231*Y233)),IF(V233="Probabilidad",AG232,""))),"")</f>
        <v>0.4</v>
      </c>
      <c r="AH233" s="463" t="str">
        <f t="shared" si="79"/>
        <v>Bajo</v>
      </c>
      <c r="AI233" s="464" t="s">
        <v>192</v>
      </c>
      <c r="AJ233" s="465"/>
      <c r="AK233" s="465"/>
      <c r="AL233" s="466"/>
      <c r="AM233" s="467"/>
      <c r="AN233" s="468"/>
    </row>
    <row r="234" spans="1:40" ht="409.5" x14ac:dyDescent="0.2">
      <c r="A234" s="469">
        <v>105</v>
      </c>
      <c r="B234" s="469" t="s">
        <v>956</v>
      </c>
      <c r="C234" s="470" t="s">
        <v>906</v>
      </c>
      <c r="D234" s="447" t="str">
        <f>IFERROR(INDEX('Base de datos gestión'!$D$28:$D$50,MATCH(C233,'Base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34" s="447" t="str">
        <f>IFERROR(INDEX('Base de datos gestión'!$E$28:$E$50,MATCH(C233,'Base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34" s="474" t="s">
        <v>234</v>
      </c>
      <c r="G234" s="475" t="s">
        <v>957</v>
      </c>
      <c r="H234" s="474" t="s">
        <v>958</v>
      </c>
      <c r="I234" s="509" t="s">
        <v>959</v>
      </c>
      <c r="J234" s="481" t="s">
        <v>238</v>
      </c>
      <c r="K234" s="476" t="s">
        <v>258</v>
      </c>
      <c r="L234" s="476">
        <v>300</v>
      </c>
      <c r="M234" s="450" t="str">
        <f t="shared" si="81"/>
        <v>Media</v>
      </c>
      <c r="N234" s="451">
        <f t="shared" si="74"/>
        <v>0.6</v>
      </c>
      <c r="O234" s="452" t="s">
        <v>597</v>
      </c>
      <c r="P234" s="451" t="str">
        <f>IF(NOT(ISERROR(MATCH(O234,'Tabla Impacto'!$B$222:$B$224,0))),'Tabla Impacto'!$F$224&amp;"Por favor no seleccionar los criterios de impacto(Afectación Económica o presupuestal y Pérdida Reputacional)",O234)</f>
        <v xml:space="preserve">     Entre 10 y 50 SMLMV </v>
      </c>
      <c r="Q234" s="453" t="str">
        <f>IF(OR(P234='[1]Tabla Impacto'!$C$12,P234='[1]Tabla Impacto'!$D$12),"Leve",IF(OR(P234='[1]Tabla Impacto'!$C$13,P234='[1]Tabla Impacto'!$D$13),"Menor",IF(OR(P234='[1]Tabla Impacto'!$C$14,P234='[1]Tabla Impacto'!$D$14),"Moderado",IF(OR(P234='[1]Tabla Impacto'!$C$15,P234='[1]Tabla Impacto'!$D$15),"Mayor",IF(OR(P234='[1]Tabla Impacto'!$C$16,P234='[1]Tabla Impacto'!$D$16),"Catastrófico","")))))</f>
        <v>Menor</v>
      </c>
      <c r="R234" s="452">
        <f t="shared" si="67"/>
        <v>0.4</v>
      </c>
      <c r="S234" s="454" t="str">
        <f t="shared" si="68"/>
        <v>Moderado</v>
      </c>
      <c r="T234" s="457">
        <v>1</v>
      </c>
      <c r="U234" s="477" t="s">
        <v>960</v>
      </c>
      <c r="V234" s="457" t="str">
        <f t="shared" si="80"/>
        <v>Probabilidad</v>
      </c>
      <c r="W234" s="458" t="s">
        <v>187</v>
      </c>
      <c r="X234" s="458" t="s">
        <v>188</v>
      </c>
      <c r="Y234" s="459" t="str">
        <f t="shared" si="75"/>
        <v>40%</v>
      </c>
      <c r="Z234" s="458" t="s">
        <v>222</v>
      </c>
      <c r="AA234" s="458" t="s">
        <v>190</v>
      </c>
      <c r="AB234" s="458" t="s">
        <v>191</v>
      </c>
      <c r="AC234" s="460">
        <f>IFERROR(IF(AND(V233="Probabilidad",V234="Probabilidad"),(AE233-(+AE233*Y234)),IF(AND(V233="Impacto",V234="Probabilidad"),(AE232-(+AE232*Y234)),IF(V234="Impacto",AE233,""))),"")</f>
        <v>1.5551999999999996E-2</v>
      </c>
      <c r="AD234" s="461" t="str">
        <f t="shared" si="76"/>
        <v>Muy Baja</v>
      </c>
      <c r="AE234" s="462">
        <f t="shared" si="77"/>
        <v>1.5551999999999996E-2</v>
      </c>
      <c r="AF234" s="461" t="str">
        <f t="shared" si="78"/>
        <v>Menor</v>
      </c>
      <c r="AG234" s="462">
        <f>IFERROR(IF(AND(V233="Impacto",V234="Impacto"),(AG233-(+AG233*Y234)),IF(AND(V233="Probabilidad",V234="Impacto"),(AG232-(+AG232*Y234)),IF(V234="Probabilidad",AG233,""))),"")</f>
        <v>0.4</v>
      </c>
      <c r="AH234" s="463" t="str">
        <f t="shared" si="79"/>
        <v>Bajo</v>
      </c>
      <c r="AI234" s="464" t="s">
        <v>192</v>
      </c>
      <c r="AJ234" s="465"/>
      <c r="AK234" s="465"/>
      <c r="AL234" s="466"/>
      <c r="AM234" s="467"/>
      <c r="AN234" s="468"/>
    </row>
    <row r="235" spans="1:40" ht="409.5" x14ac:dyDescent="0.2">
      <c r="A235" s="478">
        <v>105</v>
      </c>
      <c r="B235" s="478" t="s">
        <v>956</v>
      </c>
      <c r="C235" s="479" t="s">
        <v>906</v>
      </c>
      <c r="D235" s="447" t="str">
        <f>IFERROR(INDEX('Base de datos gestión'!$D$28:$D$50,MATCH(C234,'Base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35" s="447" t="str">
        <f>IFERROR(INDEX('Base de datos gestión'!$E$28:$E$50,MATCH(C234,'Base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35" s="474" t="s">
        <v>234</v>
      </c>
      <c r="G235" s="475" t="s">
        <v>957</v>
      </c>
      <c r="H235" s="474" t="s">
        <v>958</v>
      </c>
      <c r="I235" s="509" t="s">
        <v>961</v>
      </c>
      <c r="J235" s="481" t="s">
        <v>238</v>
      </c>
      <c r="K235" s="476" t="s">
        <v>258</v>
      </c>
      <c r="L235" s="476">
        <v>300</v>
      </c>
      <c r="M235" s="450" t="str">
        <f t="shared" si="81"/>
        <v>Media</v>
      </c>
      <c r="N235" s="451">
        <f t="shared" si="74"/>
        <v>0.6</v>
      </c>
      <c r="O235" s="452" t="s">
        <v>597</v>
      </c>
      <c r="P235" s="451" t="str">
        <f>IF(NOT(ISERROR(MATCH(O235,'Tabla Impacto'!$B$222:$B$224,0))),'Tabla Impacto'!$F$224&amp;"Por favor no seleccionar los criterios de impacto(Afectación Económica o presupuestal y Pérdida Reputacional)",O235)</f>
        <v xml:space="preserve">     Entre 10 y 50 SMLMV </v>
      </c>
      <c r="Q235" s="453" t="str">
        <f>IF(OR(P235='[1]Tabla Impacto'!$C$12,P235='[1]Tabla Impacto'!$D$12),"Leve",IF(OR(P235='[1]Tabla Impacto'!$C$13,P235='[1]Tabla Impacto'!$D$13),"Menor",IF(OR(P235='[1]Tabla Impacto'!$C$14,P235='[1]Tabla Impacto'!$D$14),"Moderado",IF(OR(P235='[1]Tabla Impacto'!$C$15,P235='[1]Tabla Impacto'!$D$15),"Mayor",IF(OR(P235='[1]Tabla Impacto'!$C$16,P235='[1]Tabla Impacto'!$D$16),"Catastrófico","")))))</f>
        <v>Menor</v>
      </c>
      <c r="R235" s="452">
        <f>IF(Q235="","",IF(Q235="Leve",0.2,IF(Q235="Menor",0.4,IF(Q235="Moderado",0.6,IF(Q235="Mayor",0.8,IF(Q235="Catastrófico",1,))))))</f>
        <v>0.4</v>
      </c>
      <c r="S235" s="454" t="str">
        <f>IF(OR(AND(M235="Muy Baja",Q235="Leve"),AND(M235="Muy Baja",Q235="Menor"),AND(M235="Baja",Q235="Leve")),"Bajo",IF(OR(AND(M235="Muy baja",Q235="Moderado"),AND(M235="Baja",Q235="Menor"),AND(M235="Baja",Q235="Moderado"),AND(M235="Media",Q235="Leve"),AND(M235="Media",Q235="Menor"),AND(M235="Media",Q235="Moderado"),AND(M235="Alta",Q235="Leve"),AND(M235="Alta",Q235="Menor")),"Moderado",IF(OR(AND(M235="Muy Baja",Q235="Mayor"),AND(M235="Baja",Q235="Mayor"),AND(M235="Media",Q235="Mayor"),AND(M235="Alta",Q235="Moderado"),AND(M235="Alta",Q235="Mayor"),AND(M235="Muy Alta",Q235="Leve"),AND(M235="Muy Alta",Q235="Menor"),AND(M235="Muy Alta",Q235="Moderado"),AND(M235="Muy Alta",Q235="Mayor")),"Alto",IF(OR(AND(M235="Muy Baja",Q235="Catastrófico"),AND(M235="Baja",Q235="Catastrófico"),AND(M235="Media",Q235="Catastrófico"),AND(M235="Alta",Q235="Catastrófico"),AND(M235="Muy Alta",Q235="Catastrófico")),"Extremo",""))))</f>
        <v>Moderado</v>
      </c>
      <c r="T235" s="457">
        <v>2</v>
      </c>
      <c r="U235" s="477" t="s">
        <v>962</v>
      </c>
      <c r="V235" s="457" t="str">
        <f t="shared" si="80"/>
        <v>Impacto</v>
      </c>
      <c r="W235" s="458" t="s">
        <v>209</v>
      </c>
      <c r="X235" s="458" t="s">
        <v>188</v>
      </c>
      <c r="Y235" s="459" t="str">
        <f t="shared" si="75"/>
        <v>25%</v>
      </c>
      <c r="Z235" s="458" t="s">
        <v>222</v>
      </c>
      <c r="AA235" s="458" t="s">
        <v>190</v>
      </c>
      <c r="AB235" s="458" t="s">
        <v>191</v>
      </c>
      <c r="AC235" s="460">
        <f>IFERROR(IF(AND(V234="Probabilidad",V235="Probabilidad"),(AE234-(+AE234*Y235)),IF(AND(V234="Impacto",V235="Probabilidad"),(AE233-(+AE233*Y235)),IF(V235="Impacto",AE234,""))),"")</f>
        <v>1.5551999999999996E-2</v>
      </c>
      <c r="AD235" s="461" t="str">
        <f t="shared" si="76"/>
        <v>Muy Baja</v>
      </c>
      <c r="AE235" s="462">
        <f t="shared" si="77"/>
        <v>1.5551999999999996E-2</v>
      </c>
      <c r="AF235" s="461" t="str">
        <f t="shared" si="78"/>
        <v>Menor</v>
      </c>
      <c r="AG235" s="462">
        <f>IFERROR(IF(AND(V234="Impacto",V235="Impacto"),(AG234-(+AG234*Y235)),IF(AND(V234="Probabilidad",V235="Impacto"),(AG233-(+AG233*Y235)),IF(V235="Probabilidad",AG234,""))),"")</f>
        <v>0.30000000000000004</v>
      </c>
      <c r="AH235" s="463" t="str">
        <f t="shared" si="79"/>
        <v>Bajo</v>
      </c>
      <c r="AI235" s="464" t="s">
        <v>192</v>
      </c>
      <c r="AJ235" s="465"/>
      <c r="AK235" s="465"/>
      <c r="AL235" s="466"/>
      <c r="AM235" s="467"/>
      <c r="AN235" s="468"/>
    </row>
    <row r="236" spans="1:40" ht="409.5" x14ac:dyDescent="0.2">
      <c r="A236" s="446">
        <v>105</v>
      </c>
      <c r="B236" s="446" t="s">
        <v>956</v>
      </c>
      <c r="C236" s="447" t="s">
        <v>906</v>
      </c>
      <c r="D236" s="447" t="str">
        <f>IFERROR(INDEX('Base de datos gestión'!$D$28:$D$50,MATCH(C235,'Base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36" s="447" t="str">
        <f>IFERROR(INDEX('Base de datos gestión'!$E$28:$E$50,MATCH(C235,'Base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36" s="474" t="s">
        <v>234</v>
      </c>
      <c r="G236" s="475" t="s">
        <v>957</v>
      </c>
      <c r="H236" s="476" t="s">
        <v>447</v>
      </c>
      <c r="I236" s="508" t="s">
        <v>958</v>
      </c>
      <c r="J236" s="481" t="s">
        <v>238</v>
      </c>
      <c r="K236" s="476" t="s">
        <v>258</v>
      </c>
      <c r="L236" s="476">
        <v>300</v>
      </c>
      <c r="M236" s="450" t="str">
        <f t="shared" si="81"/>
        <v>Media</v>
      </c>
      <c r="N236" s="451">
        <f t="shared" si="74"/>
        <v>0.6</v>
      </c>
      <c r="O236" s="452" t="s">
        <v>597</v>
      </c>
      <c r="P236" s="451" t="str">
        <f>IF(NOT(ISERROR(MATCH(O236,'Tabla Impacto'!$B$222:$B$224,0))),'Tabla Impacto'!$F$224&amp;"Por favor no seleccionar los criterios de impacto(Afectación Económica o presupuestal y Pérdida Reputacional)",O236)</f>
        <v xml:space="preserve">     Entre 10 y 50 SMLMV </v>
      </c>
      <c r="Q236" s="453" t="str">
        <f>IF(OR(P236='[1]Tabla Impacto'!$C$12,P236='[1]Tabla Impacto'!$D$12),"Leve",IF(OR(P236='[1]Tabla Impacto'!$C$13,P236='[1]Tabla Impacto'!$D$13),"Menor",IF(OR(P236='[1]Tabla Impacto'!$C$14,P236='[1]Tabla Impacto'!$D$14),"Moderado",IF(OR(P236='[1]Tabla Impacto'!$C$15,P236='[1]Tabla Impacto'!$D$15),"Mayor",IF(OR(P236='[1]Tabla Impacto'!$C$16,P236='[1]Tabla Impacto'!$D$16),"Catastrófico","")))))</f>
        <v>Menor</v>
      </c>
      <c r="R236" s="452">
        <f>IF(Q236="","",IF(Q236="Leve",0.2,IF(Q236="Menor",0.4,IF(Q236="Moderado",0.6,IF(Q236="Mayor",0.8,IF(Q236="Catastrófico",1,))))))</f>
        <v>0.4</v>
      </c>
      <c r="S236" s="454" t="str">
        <f>IF(OR(AND(M236="Muy Baja",Q236="Leve"),AND(M236="Muy Baja",Q236="Menor"),AND(M236="Baja",Q236="Leve")),"Bajo",IF(OR(AND(M236="Muy baja",Q236="Moderado"),AND(M236="Baja",Q236="Menor"),AND(M236="Baja",Q236="Moderado"),AND(M236="Media",Q236="Leve"),AND(M236="Media",Q236="Menor"),AND(M236="Media",Q236="Moderado"),AND(M236="Alta",Q236="Leve"),AND(M236="Alta",Q236="Menor")),"Moderado",IF(OR(AND(M236="Muy Baja",Q236="Mayor"),AND(M236="Baja",Q236="Mayor"),AND(M236="Media",Q236="Mayor"),AND(M236="Alta",Q236="Moderado"),AND(M236="Alta",Q236="Mayor"),AND(M236="Muy Alta",Q236="Leve"),AND(M236="Muy Alta",Q236="Menor"),AND(M236="Muy Alta",Q236="Moderado"),AND(M236="Muy Alta",Q236="Mayor")),"Alto",IF(OR(AND(M236="Muy Baja",Q236="Catastrófico"),AND(M236="Baja",Q236="Catastrófico"),AND(M236="Media",Q236="Catastrófico"),AND(M236="Alta",Q236="Catastrófico"),AND(M236="Muy Alta",Q236="Catastrófico")),"Extremo",""))))</f>
        <v>Moderado</v>
      </c>
      <c r="T236" s="457">
        <v>3</v>
      </c>
      <c r="U236" s="477" t="s">
        <v>963</v>
      </c>
      <c r="V236" s="457" t="str">
        <f t="shared" si="80"/>
        <v>Probabilidad</v>
      </c>
      <c r="W236" s="458" t="s">
        <v>187</v>
      </c>
      <c r="X236" s="458" t="s">
        <v>188</v>
      </c>
      <c r="Y236" s="459" t="str">
        <f t="shared" si="75"/>
        <v>40%</v>
      </c>
      <c r="Z236" s="458" t="s">
        <v>222</v>
      </c>
      <c r="AA236" s="458" t="s">
        <v>190</v>
      </c>
      <c r="AB236" s="458" t="s">
        <v>191</v>
      </c>
      <c r="AC236" s="460">
        <f>IFERROR(IF(V236="Probabilidad",(N236-(+N236*Y236)),IF(V236="Impacto",N236,"")),"")</f>
        <v>0.36</v>
      </c>
      <c r="AD236" s="461" t="str">
        <f t="shared" si="76"/>
        <v>Baja</v>
      </c>
      <c r="AE236" s="462">
        <f t="shared" si="77"/>
        <v>0.36</v>
      </c>
      <c r="AF236" s="461" t="str">
        <f t="shared" si="78"/>
        <v>Menor</v>
      </c>
      <c r="AG236" s="462">
        <f>IFERROR(IF(V236="Impacto",(R236-(+R236*Y236)),IF(V236="Probabilidad",R236,"")),"")</f>
        <v>0.4</v>
      </c>
      <c r="AH236" s="463" t="str">
        <f t="shared" si="79"/>
        <v>Moderado</v>
      </c>
      <c r="AI236" s="464" t="s">
        <v>192</v>
      </c>
      <c r="AJ236" s="465"/>
      <c r="AK236" s="465"/>
      <c r="AL236" s="466"/>
      <c r="AM236" s="467"/>
      <c r="AN236" s="468"/>
    </row>
    <row r="237" spans="1:40" ht="409.5" x14ac:dyDescent="0.2">
      <c r="A237" s="469">
        <v>106</v>
      </c>
      <c r="B237" s="469" t="s">
        <v>964</v>
      </c>
      <c r="C237" s="470" t="s">
        <v>965</v>
      </c>
      <c r="D237" s="447" t="str">
        <f>IFERROR(INDEX('Base de datos gestión'!$D$28:$D$50,MATCH(C236,'Base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37" s="447" t="str">
        <f>IFERROR(INDEX('Base de datos gestión'!$E$28:$E$50,MATCH(C236,'Base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37" s="474" t="s">
        <v>178</v>
      </c>
      <c r="G237" s="475" t="s">
        <v>966</v>
      </c>
      <c r="H237" s="475" t="s">
        <v>967</v>
      </c>
      <c r="I237" s="475" t="s">
        <v>968</v>
      </c>
      <c r="J237" s="481" t="s">
        <v>238</v>
      </c>
      <c r="K237" s="476" t="s">
        <v>183</v>
      </c>
      <c r="L237" s="476">
        <v>2</v>
      </c>
      <c r="M237" s="450" t="str">
        <f t="shared" si="81"/>
        <v>Muy Baja</v>
      </c>
      <c r="N237" s="451">
        <f t="shared" si="74"/>
        <v>0.2</v>
      </c>
      <c r="O237" s="452" t="s">
        <v>332</v>
      </c>
      <c r="P237" s="451" t="str">
        <f>IF(NOT(ISERROR(MATCH(O237,'Tabla Impacto'!$B$222:$B$224,0))),'Tabla Impacto'!$F$224&amp;"Por favor no seleccionar los criterios de impacto(Afectación Económica o presupuestal y Pérdida Reputacional)",O237)</f>
        <v xml:space="preserve">     El riesgo afecta la imagen de alguna área de la organización</v>
      </c>
      <c r="Q237" s="453" t="str">
        <f>IF(OR(P237='[1]Tabla Impacto'!$C$12,P237='[1]Tabla Impacto'!$D$12),"Leve",IF(OR(P237='[1]Tabla Impacto'!$C$13,P237='[1]Tabla Impacto'!$D$13),"Menor",IF(OR(P237='[1]Tabla Impacto'!$C$14,P237='[1]Tabla Impacto'!$D$14),"Moderado",IF(OR(P237='[1]Tabla Impacto'!$C$15,P237='[1]Tabla Impacto'!$D$15),"Mayor",IF(OR(P237='[1]Tabla Impacto'!$C$16,P237='[1]Tabla Impacto'!$D$16),"Catastrófico","")))))</f>
        <v>Leve</v>
      </c>
      <c r="R237" s="452">
        <f t="shared" si="67"/>
        <v>0.2</v>
      </c>
      <c r="S237" s="454" t="str">
        <f t="shared" si="68"/>
        <v>Bajo</v>
      </c>
      <c r="T237" s="457">
        <v>1</v>
      </c>
      <c r="U237" s="477" t="s">
        <v>969</v>
      </c>
      <c r="V237" s="457" t="str">
        <f t="shared" si="80"/>
        <v>Probabilidad</v>
      </c>
      <c r="W237" s="458" t="s">
        <v>187</v>
      </c>
      <c r="X237" s="458" t="s">
        <v>188</v>
      </c>
      <c r="Y237" s="459" t="str">
        <f t="shared" si="75"/>
        <v>40%</v>
      </c>
      <c r="Z237" s="458" t="s">
        <v>222</v>
      </c>
      <c r="AA237" s="458" t="s">
        <v>190</v>
      </c>
      <c r="AB237" s="458" t="s">
        <v>191</v>
      </c>
      <c r="AC237" s="460">
        <f>IFERROR(IF(AND(V236="Probabilidad",V237="Probabilidad"),(AE236-(+AE236*Y237)),IF(V237="Probabilidad",(N236-(+N236*Y237)),IF(V237="Impacto",AE236,""))),"")</f>
        <v>0.216</v>
      </c>
      <c r="AD237" s="461" t="str">
        <f t="shared" si="76"/>
        <v>Baja</v>
      </c>
      <c r="AE237" s="462">
        <f t="shared" si="77"/>
        <v>0.216</v>
      </c>
      <c r="AF237" s="461" t="str">
        <f t="shared" si="78"/>
        <v>Menor</v>
      </c>
      <c r="AG237" s="462">
        <f>IFERROR(IF(AND(V236="Impacto",V237="Impacto"),(AG230-(+AG230*Y237)),IF(V237="Impacto",($R$56-(+$R$56*Y237)),IF(V237="Probabilidad",AG230,""))),"")</f>
        <v>0.4</v>
      </c>
      <c r="AH237" s="463" t="str">
        <f t="shared" si="79"/>
        <v>Moderado</v>
      </c>
      <c r="AI237" s="464" t="s">
        <v>192</v>
      </c>
      <c r="AJ237" s="465"/>
      <c r="AK237" s="465"/>
      <c r="AL237" s="466"/>
      <c r="AM237" s="467"/>
      <c r="AN237" s="468"/>
    </row>
    <row r="238" spans="1:40" ht="409.5" x14ac:dyDescent="0.2">
      <c r="A238" s="469">
        <v>107</v>
      </c>
      <c r="B238" s="469" t="s">
        <v>970</v>
      </c>
      <c r="C238" s="470" t="s">
        <v>965</v>
      </c>
      <c r="D238" s="447" t="str">
        <f>IFERROR(INDEX('Base de datos gestión'!$D$28:$D$50,MATCH(C237,'Base de datos gestión'!$C$28:$C$50,0)), 0)</f>
        <v>Medir la eficiencia, eficacia y economía de los demás controles, asesorando a la Alta Dirección en la continuidad del proceso administrativo, la evaluación de los planes establecidos y en la introducción de los correctivos necesarios; ejerciendo liderazgo estratégico, enfoque hacia la prevención, relación con entes externos de control, evaluación de la gestión del riesgo y evaluación y seguimiento; permanentemente; en cumplimiento del Plan Anual de Auditoría, contribuyendo con el cumplimiento de las metas u objetivos previstos por la entidad.
El proceso se relaciona con el objetivo estratégico: Fortalecer la capacidad administrativa y de desempeño institucional para garantizar la eficiencia y calidad de los procesos de la entidad.</v>
      </c>
      <c r="E238" s="447" t="str">
        <f>IFERROR(INDEX('Base de datos gestión'!$E$28:$E$50,MATCH(C237,'Base de datos gestión'!$C$28:$C$50,0)), 0)</f>
        <v>Inicia con el plan anual de auditorías el cual abarca actividades tales como: ejecución de auditorías internas, análisis de datos, evaluación independiente al Sistema de Control Interno y seguimiento a planes de mejoramiento, verificaciones especiales, entre otros y finaliza con la emisión de informes. Excluye le evaluación de la normatividad técnica.</v>
      </c>
      <c r="F238" s="474" t="s">
        <v>178</v>
      </c>
      <c r="G238" s="477" t="s">
        <v>971</v>
      </c>
      <c r="H238" s="477" t="s">
        <v>972</v>
      </c>
      <c r="I238" s="477" t="s">
        <v>973</v>
      </c>
      <c r="J238" s="481" t="s">
        <v>238</v>
      </c>
      <c r="K238" s="476" t="s">
        <v>258</v>
      </c>
      <c r="L238" s="476">
        <v>48</v>
      </c>
      <c r="M238" s="450" t="str">
        <f t="shared" si="81"/>
        <v>Media</v>
      </c>
      <c r="N238" s="451">
        <f t="shared" si="74"/>
        <v>0.6</v>
      </c>
      <c r="O238" s="452" t="s">
        <v>332</v>
      </c>
      <c r="P238" s="451" t="str">
        <f>IF(NOT(ISERROR(MATCH(O238,'Tabla Impacto'!$B$222:$B$224,0))),'Tabla Impacto'!$F$224&amp;"Por favor no seleccionar los criterios de impacto(Afectación Económica o presupuestal y Pérdida Reputacional)",O238)</f>
        <v xml:space="preserve">     El riesgo afecta la imagen de alguna área de la organización</v>
      </c>
      <c r="Q238" s="453" t="str">
        <f>IF(OR(P238='[1]Tabla Impacto'!$C$12,P238='[1]Tabla Impacto'!$D$12),"Leve",IF(OR(P238='[1]Tabla Impacto'!$C$13,P238='[1]Tabla Impacto'!$D$13),"Menor",IF(OR(P238='[1]Tabla Impacto'!$C$14,P238='[1]Tabla Impacto'!$D$14),"Moderado",IF(OR(P238='[1]Tabla Impacto'!$C$15,P238='[1]Tabla Impacto'!$D$15),"Mayor",IF(OR(P238='[1]Tabla Impacto'!$C$16,P238='[1]Tabla Impacto'!$D$16),"Catastrófico","")))))</f>
        <v>Leve</v>
      </c>
      <c r="R238" s="452">
        <f t="shared" si="67"/>
        <v>0.2</v>
      </c>
      <c r="S238" s="454" t="str">
        <f t="shared" si="68"/>
        <v>Moderado</v>
      </c>
      <c r="T238" s="457">
        <v>1</v>
      </c>
      <c r="U238" s="477" t="s">
        <v>974</v>
      </c>
      <c r="V238" s="457" t="str">
        <f t="shared" si="80"/>
        <v>Probabilidad</v>
      </c>
      <c r="W238" s="458" t="s">
        <v>187</v>
      </c>
      <c r="X238" s="458" t="s">
        <v>188</v>
      </c>
      <c r="Y238" s="459" t="str">
        <f t="shared" si="75"/>
        <v>40%</v>
      </c>
      <c r="Z238" s="458" t="s">
        <v>222</v>
      </c>
      <c r="AA238" s="458" t="s">
        <v>190</v>
      </c>
      <c r="AB238" s="458" t="s">
        <v>191</v>
      </c>
      <c r="AC238" s="460">
        <f>IFERROR(IF(AND(V237="Probabilidad",V238="Probabilidad"),(AE237-(+AE237*Y238)),IF(AND(V237="Impacto",V238="Probabilidad"),(AE236-(+AE236*Y238)),IF(V238="Impacto",AE237,""))),"")</f>
        <v>0.12959999999999999</v>
      </c>
      <c r="AD238" s="461" t="str">
        <f t="shared" si="76"/>
        <v>Muy Baja</v>
      </c>
      <c r="AE238" s="462">
        <f t="shared" si="77"/>
        <v>0.12959999999999999</v>
      </c>
      <c r="AF238" s="461" t="str">
        <f t="shared" si="78"/>
        <v>Menor</v>
      </c>
      <c r="AG238" s="462">
        <f>IFERROR(IF(AND(V237="Impacto",V238="Impacto"),(AG237-(+AG237*Y238)),IF(AND(V237="Probabilidad",V238="Impacto"),(AG236-(+AG236*Y238)),IF(V238="Probabilidad",AG237,""))),"")</f>
        <v>0.4</v>
      </c>
      <c r="AH238" s="463" t="str">
        <f t="shared" si="79"/>
        <v>Bajo</v>
      </c>
      <c r="AI238" s="464" t="s">
        <v>975</v>
      </c>
      <c r="AJ238" s="465"/>
      <c r="AK238" s="465"/>
      <c r="AL238" s="466"/>
      <c r="AM238" s="467"/>
      <c r="AN238" s="468"/>
    </row>
    <row r="239" spans="1:40" ht="409.5" x14ac:dyDescent="0.2">
      <c r="A239" s="469">
        <v>108</v>
      </c>
      <c r="B239" s="469" t="s">
        <v>976</v>
      </c>
      <c r="C239" s="470" t="s">
        <v>965</v>
      </c>
      <c r="D239" s="447" t="str">
        <f>IFERROR(INDEX('Base de datos gestión'!$D$28:$D$50,MATCH(C238,'Base de datos gestión'!$C$28:$C$50,0)), 0)</f>
        <v>Medir la eficiencia, eficacia y economía de los demás controles, asesorando a la Alta Dirección en la continuidad del proceso administrativo, la evaluación de los planes establecidos y en la introducción de los correctivos necesarios; ejerciendo liderazgo estratégico, enfoque hacia la prevención, relación con entes externos de control, evaluación de la gestión del riesgo y evaluación y seguimiento; permanentemente; en cumplimiento del Plan Anual de Auditoría, contribuyendo con el cumplimiento de las metas u objetivos previstos por la entidad.
El proceso se relaciona con el objetivo estratégico: Fortalecer la capacidad administrativa y de desempeño institucional para garantizar la eficiencia y calidad de los procesos de la entidad.</v>
      </c>
      <c r="E239" s="447" t="str">
        <f>IFERROR(INDEX('Base de datos gestión'!$E$28:$E$50,MATCH(C238,'Base de datos gestión'!$C$28:$C$50,0)), 0)</f>
        <v>Inicia con el plan anual de auditorías el cual abarca actividades tales como: ejecución de auditorías internas, análisis de datos, evaluación independiente al Sistema de Control Interno y seguimiento a planes de mejoramiento, verificaciones especiales, entre otros y finaliza con la emisión de informes. Excluye le evaluación de la normatividad técnica.</v>
      </c>
      <c r="F239" s="474" t="s">
        <v>178</v>
      </c>
      <c r="G239" s="477" t="s">
        <v>977</v>
      </c>
      <c r="H239" s="477" t="s">
        <v>978</v>
      </c>
      <c r="I239" s="477" t="s">
        <v>979</v>
      </c>
      <c r="J239" s="481" t="s">
        <v>238</v>
      </c>
      <c r="K239" s="476" t="s">
        <v>258</v>
      </c>
      <c r="L239" s="476">
        <v>48</v>
      </c>
      <c r="M239" s="450" t="str">
        <f t="shared" si="81"/>
        <v>Media</v>
      </c>
      <c r="N239" s="451">
        <f t="shared" si="74"/>
        <v>0.6</v>
      </c>
      <c r="O239" s="452" t="s">
        <v>332</v>
      </c>
      <c r="P239" s="451" t="str">
        <f>IF(NOT(ISERROR(MATCH(O239,'Tabla Impacto'!$B$222:$B$224,0))),'Tabla Impacto'!$F$224&amp;"Por favor no seleccionar los criterios de impacto(Afectación Económica o presupuestal y Pérdida Reputacional)",O239)</f>
        <v xml:space="preserve">     El riesgo afecta la imagen de alguna área de la organización</v>
      </c>
      <c r="Q239" s="453" t="str">
        <f>IF(OR(P239='[1]Tabla Impacto'!$C$12,P239='[1]Tabla Impacto'!$D$12),"Leve",IF(OR(P239='[1]Tabla Impacto'!$C$13,P239='[1]Tabla Impacto'!$D$13),"Menor",IF(OR(P239='[1]Tabla Impacto'!$C$14,P239='[1]Tabla Impacto'!$D$14),"Moderado",IF(OR(P239='[1]Tabla Impacto'!$C$15,P239='[1]Tabla Impacto'!$D$15),"Mayor",IF(OR(P239='[1]Tabla Impacto'!$C$16,P239='[1]Tabla Impacto'!$D$16),"Catastrófico","")))))</f>
        <v>Leve</v>
      </c>
      <c r="R239" s="452">
        <f t="shared" si="67"/>
        <v>0.2</v>
      </c>
      <c r="S239" s="454" t="str">
        <f t="shared" si="68"/>
        <v>Moderado</v>
      </c>
      <c r="T239" s="457">
        <v>1</v>
      </c>
      <c r="U239" s="477" t="s">
        <v>980</v>
      </c>
      <c r="V239" s="457" t="str">
        <f t="shared" si="80"/>
        <v>Probabilidad</v>
      </c>
      <c r="W239" s="458" t="s">
        <v>187</v>
      </c>
      <c r="X239" s="458" t="s">
        <v>188</v>
      </c>
      <c r="Y239" s="459" t="str">
        <f t="shared" si="75"/>
        <v>40%</v>
      </c>
      <c r="Z239" s="458" t="s">
        <v>222</v>
      </c>
      <c r="AA239" s="458" t="s">
        <v>190</v>
      </c>
      <c r="AB239" s="458" t="s">
        <v>191</v>
      </c>
      <c r="AC239" s="460">
        <f>IFERROR(IF(AND(V238="Probabilidad",V239="Probabilidad"),(AE238-(+AE238*Y239)),IF(AND(V238="Impacto",V239="Probabilidad"),(AE237-(+AE237*Y239)),IF(V239="Impacto",AE238,""))),"")</f>
        <v>7.7759999999999996E-2</v>
      </c>
      <c r="AD239" s="461" t="str">
        <f t="shared" si="76"/>
        <v>Muy Baja</v>
      </c>
      <c r="AE239" s="462">
        <f t="shared" si="77"/>
        <v>7.7759999999999996E-2</v>
      </c>
      <c r="AF239" s="461" t="str">
        <f t="shared" si="78"/>
        <v>Menor</v>
      </c>
      <c r="AG239" s="462">
        <f>IFERROR(IF(AND(V238="Impacto",V239="Impacto"),(AG238-(+AG238*Y239)),IF(AND(V238="Probabilidad",V239="Impacto"),(AG237-(+AG237*Y239)),IF(V239="Probabilidad",AG238,""))),"")</f>
        <v>0.4</v>
      </c>
      <c r="AH239" s="463" t="str">
        <f t="shared" si="79"/>
        <v>Bajo</v>
      </c>
      <c r="AI239" s="464" t="s">
        <v>975</v>
      </c>
      <c r="AJ239" s="465"/>
      <c r="AK239" s="465"/>
      <c r="AL239" s="466"/>
      <c r="AM239" s="467"/>
      <c r="AN239" s="468"/>
    </row>
    <row r="240" spans="1:40" ht="409.5" x14ac:dyDescent="0.2">
      <c r="A240" s="469">
        <v>109</v>
      </c>
      <c r="B240" s="469" t="s">
        <v>981</v>
      </c>
      <c r="C240" s="470" t="s">
        <v>965</v>
      </c>
      <c r="D240" s="447" t="str">
        <f>IFERROR(INDEX('Base de datos gestión'!$D$28:$D$50,MATCH(C239,'Base de datos gestión'!$C$28:$C$50,0)), 0)</f>
        <v>Medir la eficiencia, eficacia y economía de los demás controles, asesorando a la Alta Dirección en la continuidad del proceso administrativo, la evaluación de los planes establecidos y en la introducción de los correctivos necesarios; ejerciendo liderazgo estratégico, enfoque hacia la prevención, relación con entes externos de control, evaluación de la gestión del riesgo y evaluación y seguimiento; permanentemente; en cumplimiento del Plan Anual de Auditoría, contribuyendo con el cumplimiento de las metas u objetivos previstos por la entidad.
El proceso se relaciona con el objetivo estratégico: Fortalecer la capacidad administrativa y de desempeño institucional para garantizar la eficiencia y calidad de los procesos de la entidad.</v>
      </c>
      <c r="E240" s="447" t="str">
        <f>IFERROR(INDEX('Base de datos gestión'!$E$28:$E$50,MATCH(C239,'Base de datos gestión'!$C$28:$C$50,0)), 0)</f>
        <v>Inicia con el plan anual de auditorías el cual abarca actividades tales como: ejecución de auditorías internas, análisis de datos, evaluación independiente al Sistema de Control Interno y seguimiento a planes de mejoramiento, verificaciones especiales, entre otros y finaliza con la emisión de informes. Excluye le evaluación de la normatividad técnica.</v>
      </c>
      <c r="F240" s="474" t="s">
        <v>178</v>
      </c>
      <c r="G240" s="509" t="s">
        <v>982</v>
      </c>
      <c r="H240" s="509" t="s">
        <v>983</v>
      </c>
      <c r="I240" s="509" t="s">
        <v>984</v>
      </c>
      <c r="J240" s="481" t="s">
        <v>517</v>
      </c>
      <c r="K240" s="476" t="s">
        <v>183</v>
      </c>
      <c r="L240" s="476">
        <v>12</v>
      </c>
      <c r="M240" s="450" t="str">
        <f t="shared" si="81"/>
        <v>Baja</v>
      </c>
      <c r="N240" s="451">
        <f t="shared" si="74"/>
        <v>0.4</v>
      </c>
      <c r="O240" s="452" t="s">
        <v>207</v>
      </c>
      <c r="P240" s="451" t="str">
        <f>IF(NOT(ISERROR(MATCH(O240,'Tabla Impacto'!$B$222:$B$224,0))),'Tabla Impacto'!$F$224&amp;"Por favor no seleccionar los criterios de impacto(Afectación Económica o presupuestal y Pérdida Reputacional)",O240)</f>
        <v xml:space="preserve">     El riesgo afecta la imagen de la entidad internamente, de conocimiento general, nivel interno, de junta directiva y accionistas y/o de proveedores</v>
      </c>
      <c r="Q240" s="453" t="s">
        <v>428</v>
      </c>
      <c r="R240" s="452">
        <v>0.2</v>
      </c>
      <c r="S240" s="454" t="s">
        <v>8</v>
      </c>
      <c r="T240" s="457">
        <v>1</v>
      </c>
      <c r="U240" s="477" t="s">
        <v>985</v>
      </c>
      <c r="V240" s="457" t="str">
        <f t="shared" si="80"/>
        <v>Probabilidad</v>
      </c>
      <c r="W240" s="458" t="s">
        <v>187</v>
      </c>
      <c r="X240" s="458" t="s">
        <v>188</v>
      </c>
      <c r="Y240" s="459" t="str">
        <f t="shared" si="75"/>
        <v>40%</v>
      </c>
      <c r="Z240" s="458" t="s">
        <v>222</v>
      </c>
      <c r="AA240" s="458" t="s">
        <v>190</v>
      </c>
      <c r="AB240" s="458" t="s">
        <v>191</v>
      </c>
      <c r="AC240" s="460">
        <f>IFERROR(IF(AND(V239="Probabilidad",V240="Probabilidad"),(AE239-(+AE239*Y240)),IF(AND(V239="Impacto",V240="Probabilidad"),(AE238-(+AE238*Y240)),IF(V240="Impacto",AE239,""))),"")</f>
        <v>4.6655999999999996E-2</v>
      </c>
      <c r="AD240" s="461" t="str">
        <f t="shared" si="76"/>
        <v>Muy Baja</v>
      </c>
      <c r="AE240" s="462">
        <f t="shared" si="77"/>
        <v>4.6655999999999996E-2</v>
      </c>
      <c r="AF240" s="461" t="str">
        <f t="shared" si="78"/>
        <v>Menor</v>
      </c>
      <c r="AG240" s="462">
        <f>IFERROR(IF(AND(V239="Impacto",V240="Impacto"),(AG239-(+AG239*Y240)),IF(AND(V239="Probabilidad",V240="Impacto"),(AG238-(+AG238*Y240)),IF(V240="Probabilidad",AG239,""))),"")</f>
        <v>0.4</v>
      </c>
      <c r="AH240" s="463" t="str">
        <f t="shared" si="79"/>
        <v>Bajo</v>
      </c>
      <c r="AI240" s="464" t="s">
        <v>192</v>
      </c>
      <c r="AJ240" s="465"/>
      <c r="AK240" s="465"/>
      <c r="AL240" s="466"/>
      <c r="AM240" s="467"/>
      <c r="AN240" s="468"/>
    </row>
    <row r="241" spans="1:40" ht="409.5" x14ac:dyDescent="0.2">
      <c r="A241" s="478">
        <v>110</v>
      </c>
      <c r="B241" s="478" t="s">
        <v>986</v>
      </c>
      <c r="C241" s="479" t="s">
        <v>965</v>
      </c>
      <c r="D241" s="447" t="str">
        <f>IFERROR(INDEX('Base de datos gestión'!$D$28:$D$50,MATCH(C240,'Base de datos gestión'!$C$28:$C$50,0)), 0)</f>
        <v>Medir la eficiencia, eficacia y economía de los demás controles, asesorando a la Alta Dirección en la continuidad del proceso administrativo, la evaluación de los planes establecidos y en la introducción de los correctivos necesarios; ejerciendo liderazgo estratégico, enfoque hacia la prevención, relación con entes externos de control, evaluación de la gestión del riesgo y evaluación y seguimiento; permanentemente; en cumplimiento del Plan Anual de Auditoría, contribuyendo con el cumplimiento de las metas u objetivos previstos por la entidad.
El proceso se relaciona con el objetivo estratégico: Fortalecer la capacidad administrativa y de desempeño institucional para garantizar la eficiencia y calidad de los procesos de la entidad.</v>
      </c>
      <c r="E241" s="447" t="str">
        <f>IFERROR(INDEX('Base de datos gestión'!$E$28:$E$50,MATCH(C240,'Base de datos gestión'!$C$28:$C$50,0)), 0)</f>
        <v>Inicia con el plan anual de auditorías el cual abarca actividades tales como: ejecución de auditorías internas, análisis de datos, evaluación independiente al Sistema de Control Interno y seguimiento a planes de mejoramiento, verificaciones especiales, entre otros y finaliza con la emisión de informes. Excluye le evaluación de la normatividad técnica.</v>
      </c>
      <c r="F241" s="476" t="s">
        <v>234</v>
      </c>
      <c r="G241" s="508" t="s">
        <v>987</v>
      </c>
      <c r="H241" s="509" t="s">
        <v>988</v>
      </c>
      <c r="I241" s="509" t="s">
        <v>989</v>
      </c>
      <c r="J241" s="495" t="s">
        <v>238</v>
      </c>
      <c r="K241" s="499" t="s">
        <v>258</v>
      </c>
      <c r="L241" s="476">
        <v>36</v>
      </c>
      <c r="M241" s="450" t="str">
        <f t="shared" si="81"/>
        <v>Media</v>
      </c>
      <c r="N241" s="451">
        <f t="shared" si="74"/>
        <v>0.6</v>
      </c>
      <c r="O241" s="452" t="s">
        <v>597</v>
      </c>
      <c r="P241" s="451" t="str">
        <f>IF(NOT(ISERROR(MATCH(O241,'Tabla Impacto'!$B$222:$B$224,0))),'Tabla Impacto'!$F$224&amp;"Por favor no seleccionar los criterios de impacto(Afectación Económica o presupuestal y Pérdida Reputacional)",O241)</f>
        <v xml:space="preserve">     Entre 10 y 50 SMLMV </v>
      </c>
      <c r="Q241" s="453" t="str">
        <f>IF(OR(P241='[1]Tabla Impacto'!$C$12,P241='[1]Tabla Impacto'!$D$12),"Leve",IF(OR(P241='[1]Tabla Impacto'!$C$13,P241='[1]Tabla Impacto'!$D$13),"Menor",IF(OR(P241='[1]Tabla Impacto'!$C$14,P241='[1]Tabla Impacto'!$D$14),"Moderado",IF(OR(P241='[1]Tabla Impacto'!$C$15,P241='[1]Tabla Impacto'!$D$15),"Mayor",IF(OR(P241='[1]Tabla Impacto'!$C$16,P241='[1]Tabla Impacto'!$D$16),"Catastrófico","")))))</f>
        <v>Menor</v>
      </c>
      <c r="R241" s="452">
        <f t="shared" si="67"/>
        <v>0.4</v>
      </c>
      <c r="S241" s="454" t="str">
        <f t="shared" si="68"/>
        <v>Moderado</v>
      </c>
      <c r="T241" s="457">
        <v>1</v>
      </c>
      <c r="U241" s="477" t="s">
        <v>990</v>
      </c>
      <c r="V241" s="457" t="str">
        <f t="shared" si="80"/>
        <v>Probabilidad</v>
      </c>
      <c r="W241" s="458" t="s">
        <v>187</v>
      </c>
      <c r="X241" s="458" t="s">
        <v>188</v>
      </c>
      <c r="Y241" s="459" t="str">
        <f t="shared" si="75"/>
        <v>40%</v>
      </c>
      <c r="Z241" s="458" t="s">
        <v>222</v>
      </c>
      <c r="AA241" s="458" t="s">
        <v>190</v>
      </c>
      <c r="AB241" s="458" t="s">
        <v>191</v>
      </c>
      <c r="AC241" s="460">
        <f>IFERROR(IF(AND(V240="Probabilidad",V241="Probabilidad"),(AE240-(+AE240*Y241)),IF(AND(V240="Impacto",V241="Probabilidad"),(AE239-(+AE239*Y241)),IF(V241="Impacto",AE240,""))),"")</f>
        <v>2.7993599999999997E-2</v>
      </c>
      <c r="AD241" s="461" t="str">
        <f t="shared" si="76"/>
        <v>Muy Baja</v>
      </c>
      <c r="AE241" s="462">
        <f t="shared" si="77"/>
        <v>2.7993599999999997E-2</v>
      </c>
      <c r="AF241" s="461" t="str">
        <f t="shared" si="78"/>
        <v>Menor</v>
      </c>
      <c r="AG241" s="462">
        <f>IFERROR(IF(AND(V240="Impacto",V241="Impacto"),(AG240-(+AG240*Y241)),IF(AND(V240="Probabilidad",V241="Impacto"),(AG239-(+AG239*Y241)),IF(V241="Probabilidad",AG240,""))),"")</f>
        <v>0.4</v>
      </c>
      <c r="AH241" s="463" t="str">
        <f t="shared" si="79"/>
        <v>Bajo</v>
      </c>
      <c r="AI241" s="464" t="s">
        <v>975</v>
      </c>
      <c r="AJ241" s="465"/>
      <c r="AK241" s="465"/>
      <c r="AL241" s="466"/>
      <c r="AM241" s="467"/>
      <c r="AN241" s="468"/>
    </row>
    <row r="242" spans="1:40" s="373" customFormat="1" ht="409.5" x14ac:dyDescent="0.2">
      <c r="A242" s="513">
        <v>110</v>
      </c>
      <c r="B242" s="513" t="s">
        <v>986</v>
      </c>
      <c r="C242" s="514" t="s">
        <v>965</v>
      </c>
      <c r="D242" s="514" t="str">
        <f>IFERROR(INDEX('Base de datos gestión'!$D$28:$D$50,MATCH(C241,'Base de datos gestión'!$C$28:$C$50,0)), 0)</f>
        <v>Medir la eficiencia, eficacia y economía de los demás controles, asesorando a la Alta Dirección en la continuidad del proceso administrativo, la evaluación de los planes establecidos y en la introducción de los correctivos necesarios; ejerciendo liderazgo estratégico, enfoque hacia la prevención, relación con entes externos de control, evaluación de la gestión del riesgo y evaluación y seguimiento; permanentemente; en cumplimiento del Plan Anual de Auditoría, contribuyendo con el cumplimiento de las metas u objetivos previstos por la entidad.
El proceso se relaciona con el objetivo estratégico: Fortalecer la capacidad administrativa y de desempeño institucional para garantizar la eficiencia y calidad de los procesos de la entidad.</v>
      </c>
      <c r="E242" s="514" t="str">
        <f>IFERROR(INDEX('Base de datos gestión'!$E$28:$E$50,MATCH(C241,'Base de datos gestión'!$C$28:$C$50,0)), 0)</f>
        <v>Inicia con el plan anual de auditorías el cual abarca actividades tales como: ejecución de auditorías internas, análisis de datos, evaluación independiente al Sistema de Control Interno y seguimiento a planes de mejoramiento, verificaciones especiales, entre otros y finaliza con la emisión de informes. Excluye le evaluación de la normatividad técnica.</v>
      </c>
      <c r="F242" s="515" t="s">
        <v>234</v>
      </c>
      <c r="G242" s="516" t="s">
        <v>987</v>
      </c>
      <c r="H242" s="516" t="s">
        <v>988</v>
      </c>
      <c r="I242" s="516" t="s">
        <v>989</v>
      </c>
      <c r="J242" s="517" t="s">
        <v>238</v>
      </c>
      <c r="K242" s="518" t="s">
        <v>258</v>
      </c>
      <c r="L242" s="476">
        <v>36</v>
      </c>
      <c r="M242" s="450" t="str">
        <f t="shared" si="81"/>
        <v>Media</v>
      </c>
      <c r="N242" s="451">
        <f t="shared" si="74"/>
        <v>0.6</v>
      </c>
      <c r="O242" s="452" t="s">
        <v>214</v>
      </c>
      <c r="P242" s="451" t="str">
        <f>IF(NOT(ISERROR(MATCH(O242,'Tabla Impacto'!$B$222:$B$224,0))),'Tabla Impacto'!$F$224&amp;"Por favor no seleccionar los criterios de impacto(Afectación Económica o presupuestal y Pérdida Reputacional)",O242)</f>
        <v xml:space="preserve">     El riesgo afecta la imagen de la entidad con algunos usuarios de relevancia frente al logro de los objetivos</v>
      </c>
      <c r="Q242" s="453" t="str">
        <f>IF(OR(P242='[1]Tabla Impacto'!$C$12,P242='[1]Tabla Impacto'!$D$12),"Leve",IF(OR(P242='[1]Tabla Impacto'!$C$13,P242='[1]Tabla Impacto'!$D$13),"Menor",IF(OR(P242='[1]Tabla Impacto'!$C$14,P242='[1]Tabla Impacto'!$D$14),"Moderado",IF(OR(P242='[1]Tabla Impacto'!$C$15,P242='[1]Tabla Impacto'!$D$15),"Mayor",IF(OR(P242='[1]Tabla Impacto'!$C$16,P242='[1]Tabla Impacto'!$D$16),"Catastrófico","")))))</f>
        <v>Moderado</v>
      </c>
      <c r="R242" s="452">
        <f t="shared" si="67"/>
        <v>0.6</v>
      </c>
      <c r="S242" s="454" t="str">
        <f t="shared" si="68"/>
        <v>Moderado</v>
      </c>
      <c r="T242" s="457">
        <v>1</v>
      </c>
      <c r="U242" s="477" t="s">
        <v>990</v>
      </c>
      <c r="V242" s="457" t="str">
        <f t="shared" si="80"/>
        <v>Probabilidad</v>
      </c>
      <c r="W242" s="458" t="s">
        <v>187</v>
      </c>
      <c r="X242" s="458" t="s">
        <v>188</v>
      </c>
      <c r="Y242" s="459" t="str">
        <f t="shared" si="75"/>
        <v>40%</v>
      </c>
      <c r="Z242" s="458" t="s">
        <v>222</v>
      </c>
      <c r="AA242" s="458" t="s">
        <v>190</v>
      </c>
      <c r="AB242" s="458" t="s">
        <v>191</v>
      </c>
      <c r="AC242" s="460">
        <f>IFERROR(IF(V242="Probabilidad",(N242-(+N242*Y242)),IF(V242="Impacto",N242,"")),"")</f>
        <v>0.36</v>
      </c>
      <c r="AD242" s="461" t="str">
        <f t="shared" si="76"/>
        <v>Baja</v>
      </c>
      <c r="AE242" s="462">
        <f t="shared" si="77"/>
        <v>0.36</v>
      </c>
      <c r="AF242" s="461" t="str">
        <f t="shared" si="78"/>
        <v>Moderado</v>
      </c>
      <c r="AG242" s="462">
        <f>IFERROR(IF(V242="Impacto",(R242-(+R242*Y242)),IF(V242="Probabilidad",R242,"")),"")</f>
        <v>0.6</v>
      </c>
      <c r="AH242" s="463" t="str">
        <f t="shared" si="79"/>
        <v>Moderado</v>
      </c>
      <c r="AI242" s="464" t="s">
        <v>975</v>
      </c>
      <c r="AJ242" s="465"/>
      <c r="AK242" s="465"/>
      <c r="AL242" s="466"/>
      <c r="AM242" s="467"/>
      <c r="AN242" s="468"/>
    </row>
    <row r="243" spans="1:40" ht="409.5" x14ac:dyDescent="0.2">
      <c r="A243" s="469">
        <v>111</v>
      </c>
      <c r="B243" s="469" t="s">
        <v>991</v>
      </c>
      <c r="C243" s="470" t="s">
        <v>992</v>
      </c>
      <c r="D243" s="484" t="str">
        <f>IFERROR(INDEX('Base de datos gestión'!$D$28:$D$50,MATCH(C242,'Base de datos gestión'!$C$28:$C$50,0)), 0)</f>
        <v>Medir la eficiencia, eficacia y economía de los demás controles, asesorando a la Alta Dirección en la continuidad del proceso administrativo, la evaluación de los planes establecidos y en la introducción de los correctivos necesarios; ejerciendo liderazgo estratégico, enfoque hacia la prevención, relación con entes externos de control, evaluación de la gestión del riesgo y evaluación y seguimiento; permanentemente; en cumplimiento del Plan Anual de Auditoría, contribuyendo con el cumplimiento de las metas u objetivos previstos por la entidad.
El proceso se relaciona con el objetivo estratégico: Fortalecer la capacidad administrativa y de desempeño institucional para garantizar la eficiencia y calidad de los procesos de la entidad.</v>
      </c>
      <c r="E243" s="447" t="str">
        <f>IFERROR(INDEX('Base de datos gestión'!$E$28:$E$50,MATCH(C242,'Base de datos gestión'!$C$28:$C$50,0)), 0)</f>
        <v>Inicia con el plan anual de auditorías el cual abarca actividades tales como: ejecución de auditorías internas, análisis de datos, evaluación independiente al Sistema de Control Interno y seguimiento a planes de mejoramiento, verificaciones especiales, entre otros y finaliza con la emisión de informes. Excluye le evaluación de la normatividad técnica.</v>
      </c>
      <c r="F243" s="476" t="s">
        <v>234</v>
      </c>
      <c r="G243" s="496" t="s">
        <v>993</v>
      </c>
      <c r="H243" s="496" t="s">
        <v>994</v>
      </c>
      <c r="I243" s="496" t="s">
        <v>995</v>
      </c>
      <c r="J243" s="495" t="s">
        <v>238</v>
      </c>
      <c r="K243" s="497" t="s">
        <v>768</v>
      </c>
      <c r="L243" s="476">
        <v>5001</v>
      </c>
      <c r="M243" s="450" t="str">
        <f t="shared" si="81"/>
        <v>Muy Alta</v>
      </c>
      <c r="N243" s="451">
        <f t="shared" si="74"/>
        <v>1</v>
      </c>
      <c r="O243" s="452" t="s">
        <v>214</v>
      </c>
      <c r="P243" s="451" t="str">
        <f>IF(NOT(ISERROR(MATCH(O243,'Tabla Impacto'!$B$222:$B$224,0))),'Tabla Impacto'!$F$224&amp;"Por favor no seleccionar los criterios de impacto(Afectación Económica o presupuestal y Pérdida Reputacional)",O243)</f>
        <v xml:space="preserve">     El riesgo afecta la imagen de la entidad con algunos usuarios de relevancia frente al logro de los objetivos</v>
      </c>
      <c r="Q243" s="453" t="str">
        <f>IF(OR(P243='[1]Tabla Impacto'!$C$12,P243='[1]Tabla Impacto'!$D$12),"Leve",IF(OR(P243='[1]Tabla Impacto'!$C$13,P243='[1]Tabla Impacto'!$D$13),"Menor",IF(OR(P243='[1]Tabla Impacto'!$C$14,P243='[1]Tabla Impacto'!$D$14),"Moderado",IF(OR(P243='[1]Tabla Impacto'!$C$15,P243='[1]Tabla Impacto'!$D$15),"Mayor",IF(OR(P243='[1]Tabla Impacto'!$C$16,P243='[1]Tabla Impacto'!$D$16),"Catastrófico","")))))</f>
        <v>Moderado</v>
      </c>
      <c r="R243" s="452">
        <f t="shared" si="67"/>
        <v>0.6</v>
      </c>
      <c r="S243" s="454" t="str">
        <f t="shared" si="68"/>
        <v>Alto</v>
      </c>
      <c r="T243" s="457">
        <v>1</v>
      </c>
      <c r="U243" s="610" t="s">
        <v>996</v>
      </c>
      <c r="V243" s="457" t="str">
        <f t="shared" si="80"/>
        <v>Probabilidad</v>
      </c>
      <c r="W243" s="458" t="s">
        <v>228</v>
      </c>
      <c r="X243" s="458" t="s">
        <v>188</v>
      </c>
      <c r="Y243" s="459" t="str">
        <f t="shared" si="75"/>
        <v>30%</v>
      </c>
      <c r="Z243" s="458" t="s">
        <v>222</v>
      </c>
      <c r="AA243" s="458" t="s">
        <v>190</v>
      </c>
      <c r="AB243" s="458" t="s">
        <v>191</v>
      </c>
      <c r="AC243" s="460">
        <f>IFERROR(IF(AND(V242="Probabilidad",V243="Probabilidad"),(AE242-(+AE242*Y243)),IF(V243="Probabilidad",(N242-(+N242*Y243)),IF(V243="Impacto",AE242,""))),"")</f>
        <v>0.252</v>
      </c>
      <c r="AD243" s="461" t="str">
        <f t="shared" si="76"/>
        <v>Baja</v>
      </c>
      <c r="AE243" s="462">
        <f t="shared" si="77"/>
        <v>0.252</v>
      </c>
      <c r="AF243" s="461" t="str">
        <f t="shared" si="78"/>
        <v>Menor</v>
      </c>
      <c r="AG243" s="462">
        <f>IFERROR(IF(AND(V242="Impacto",V243="Impacto"),(AG236-(+AG236*Y243)),IF(V243="Impacto",($R$50-(+$R$50*Y243)),IF(V243="Probabilidad",AG236,""))),"")</f>
        <v>0.4</v>
      </c>
      <c r="AH243" s="463" t="str">
        <f t="shared" si="79"/>
        <v>Moderado</v>
      </c>
      <c r="AI243" s="464" t="s">
        <v>192</v>
      </c>
      <c r="AJ243" s="465"/>
      <c r="AK243" s="465"/>
      <c r="AL243" s="467"/>
      <c r="AM243" s="519"/>
      <c r="AN243" s="468"/>
    </row>
    <row r="244" spans="1:40" ht="409.5" x14ac:dyDescent="0.2">
      <c r="A244" s="469">
        <v>112</v>
      </c>
      <c r="B244" s="469" t="s">
        <v>997</v>
      </c>
      <c r="C244" s="470" t="s">
        <v>992</v>
      </c>
      <c r="D244" s="484" t="str">
        <f>IFERROR(INDEX('Base de datos gestión'!$D$28:$D$50,MATCH(C243,'Base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44" s="447" t="str">
        <f>IFERROR(INDEX('Base de datos gestión'!$E$28:$E$50,MATCH(C243,'Base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44" s="476" t="s">
        <v>234</v>
      </c>
      <c r="G244" s="496" t="s">
        <v>998</v>
      </c>
      <c r="H244" s="496" t="s">
        <v>999</v>
      </c>
      <c r="I244" s="496" t="s">
        <v>1000</v>
      </c>
      <c r="J244" s="481" t="s">
        <v>182</v>
      </c>
      <c r="K244" s="497" t="s">
        <v>768</v>
      </c>
      <c r="L244" s="476">
        <v>5001</v>
      </c>
      <c r="M244" s="450" t="str">
        <f t="shared" si="81"/>
        <v>Muy Alta</v>
      </c>
      <c r="N244" s="451">
        <f t="shared" si="74"/>
        <v>1</v>
      </c>
      <c r="O244" s="452" t="s">
        <v>214</v>
      </c>
      <c r="P244" s="451" t="str">
        <f>IF(NOT(ISERROR(MATCH(O244,'Tabla Impacto'!$B$222:$B$224,0))),'Tabla Impacto'!$F$224&amp;"Por favor no seleccionar los criterios de impacto(Afectación Económica o presupuestal y Pérdida Reputacional)",O244)</f>
        <v xml:space="preserve">     El riesgo afecta la imagen de la entidad con algunos usuarios de relevancia frente al logro de los objetivos</v>
      </c>
      <c r="Q244" s="453" t="str">
        <f>IF(OR(P244='[1]Tabla Impacto'!$C$12,P244='[1]Tabla Impacto'!$D$12),"Leve",IF(OR(P244='[1]Tabla Impacto'!$C$13,P244='[1]Tabla Impacto'!$D$13),"Menor",IF(OR(P244='[1]Tabla Impacto'!$C$14,P244='[1]Tabla Impacto'!$D$14),"Moderado",IF(OR(P244='[1]Tabla Impacto'!$C$15,P244='[1]Tabla Impacto'!$D$15),"Mayor",IF(OR(P244='[1]Tabla Impacto'!$C$16,P244='[1]Tabla Impacto'!$D$16),"Catastrófico","")))))</f>
        <v>Moderado</v>
      </c>
      <c r="R244" s="452">
        <f t="shared" si="67"/>
        <v>0.6</v>
      </c>
      <c r="S244" s="454" t="str">
        <f t="shared" si="68"/>
        <v>Alto</v>
      </c>
      <c r="T244" s="457">
        <v>1</v>
      </c>
      <c r="U244" s="610" t="s">
        <v>1001</v>
      </c>
      <c r="V244" s="457" t="str">
        <f t="shared" si="80"/>
        <v>Probabilidad</v>
      </c>
      <c r="W244" s="458" t="s">
        <v>228</v>
      </c>
      <c r="X244" s="458" t="s">
        <v>188</v>
      </c>
      <c r="Y244" s="459" t="str">
        <f t="shared" si="75"/>
        <v>30%</v>
      </c>
      <c r="Z244" s="458" t="s">
        <v>189</v>
      </c>
      <c r="AA244" s="458" t="s">
        <v>202</v>
      </c>
      <c r="AB244" s="458" t="s">
        <v>216</v>
      </c>
      <c r="AC244" s="460">
        <f>IFERROR(IF(AND(V243="Probabilidad",V244="Probabilidad"),(AE243-(+AE243*Y244)),IF(AND(V243="Impacto",V244="Probabilidad"),(AE242-(+AE242*Y244)),IF(V244="Impacto",AE243,""))),"")</f>
        <v>0.1764</v>
      </c>
      <c r="AD244" s="461" t="str">
        <f t="shared" si="76"/>
        <v>Muy Baja</v>
      </c>
      <c r="AE244" s="462">
        <f t="shared" si="77"/>
        <v>0.1764</v>
      </c>
      <c r="AF244" s="461" t="str">
        <f t="shared" si="78"/>
        <v>Menor</v>
      </c>
      <c r="AG244" s="462">
        <f>IFERROR(IF(AND(V243="Impacto",V244="Impacto"),(AG243-(+AG243*Y244)),IF(AND(V243="Probabilidad",V244="Impacto"),(AG242-(+AG242*Y244)),IF(V244="Probabilidad",AG243,""))),"")</f>
        <v>0.4</v>
      </c>
      <c r="AH244" s="463" t="str">
        <f t="shared" si="79"/>
        <v>Bajo</v>
      </c>
      <c r="AI244" s="464" t="s">
        <v>192</v>
      </c>
      <c r="AJ244" s="465"/>
      <c r="AK244" s="465"/>
      <c r="AL244" s="466"/>
      <c r="AM244" s="519"/>
      <c r="AN244" s="468"/>
    </row>
    <row r="245" spans="1:40" ht="409.5" x14ac:dyDescent="0.2">
      <c r="A245" s="469">
        <v>112</v>
      </c>
      <c r="B245" s="469" t="s">
        <v>997</v>
      </c>
      <c r="C245" s="470" t="s">
        <v>992</v>
      </c>
      <c r="D245" s="484" t="str">
        <f>IFERROR(INDEX('Base de datos gestión'!$D$28:$D$50,MATCH(C244,'Base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45" s="447" t="str">
        <f>IFERROR(INDEX('Base de datos gestión'!$E$28:$E$50,MATCH(C244,'Base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45" s="476" t="s">
        <v>234</v>
      </c>
      <c r="G245" s="465" t="s">
        <v>998</v>
      </c>
      <c r="H245" s="465" t="s">
        <v>1002</v>
      </c>
      <c r="I245" s="465" t="s">
        <v>1003</v>
      </c>
      <c r="J245" s="481" t="s">
        <v>182</v>
      </c>
      <c r="K245" s="497" t="s">
        <v>768</v>
      </c>
      <c r="L245" s="476">
        <v>5001</v>
      </c>
      <c r="M245" s="450" t="str">
        <f t="shared" si="81"/>
        <v>Muy Alta</v>
      </c>
      <c r="N245" s="451">
        <f t="shared" si="74"/>
        <v>1</v>
      </c>
      <c r="O245" s="452" t="s">
        <v>214</v>
      </c>
      <c r="P245" s="451" t="str">
        <f>IF(NOT(ISERROR(MATCH(O245,'Tabla Impacto'!$B$222:$B$224,0))),'Tabla Impacto'!$F$224&amp;"Por favor no seleccionar los criterios de impacto(Afectación Económica o presupuestal y Pérdida Reputacional)",O245)</f>
        <v xml:space="preserve">     El riesgo afecta la imagen de la entidad con algunos usuarios de relevancia frente al logro de los objetivos</v>
      </c>
      <c r="Q245" s="453" t="str">
        <f>IF(OR(P245='[1]Tabla Impacto'!$C$12,P245='[1]Tabla Impacto'!$D$12),"Leve",IF(OR(P245='[1]Tabla Impacto'!$C$13,P245='[1]Tabla Impacto'!$D$13),"Menor",IF(OR(P245='[1]Tabla Impacto'!$C$14,P245='[1]Tabla Impacto'!$D$14),"Moderado",IF(OR(P245='[1]Tabla Impacto'!$C$15,P245='[1]Tabla Impacto'!$D$15),"Mayor",IF(OR(P245='[1]Tabla Impacto'!$C$16,P245='[1]Tabla Impacto'!$D$16),"Catastrófico","")))))</f>
        <v>Moderado</v>
      </c>
      <c r="R245" s="452">
        <f t="shared" si="67"/>
        <v>0.6</v>
      </c>
      <c r="S245" s="454" t="str">
        <f t="shared" si="68"/>
        <v>Alto</v>
      </c>
      <c r="T245" s="457">
        <v>2</v>
      </c>
      <c r="U245" s="506" t="s">
        <v>1004</v>
      </c>
      <c r="V245" s="457" t="str">
        <f t="shared" si="80"/>
        <v>Impacto</v>
      </c>
      <c r="W245" s="458" t="s">
        <v>209</v>
      </c>
      <c r="X245" s="458" t="s">
        <v>188</v>
      </c>
      <c r="Y245" s="459" t="str">
        <f t="shared" si="75"/>
        <v>25%</v>
      </c>
      <c r="Z245" s="458" t="s">
        <v>189</v>
      </c>
      <c r="AA245" s="458" t="s">
        <v>202</v>
      </c>
      <c r="AB245" s="458" t="s">
        <v>216</v>
      </c>
      <c r="AC245" s="460">
        <f>IFERROR(IF(AND(V244="Probabilidad",V245="Probabilidad"),(AE244-(+AE244*Y245)),IF(AND(V244="Impacto",V245="Probabilidad"),(AE243-(+AE243*Y245)),IF(V245="Impacto",AE244,""))),"")</f>
        <v>0.1764</v>
      </c>
      <c r="AD245" s="461" t="str">
        <f t="shared" si="76"/>
        <v>Muy Baja</v>
      </c>
      <c r="AE245" s="462">
        <f t="shared" si="77"/>
        <v>0.1764</v>
      </c>
      <c r="AF245" s="461" t="str">
        <f t="shared" si="78"/>
        <v>Menor</v>
      </c>
      <c r="AG245" s="462">
        <f>IFERROR(IF(AND(V244="Impacto",V245="Impacto"),(AG244-(+AG244*Y245)),IF(AND(V244="Probabilidad",V245="Impacto"),(AG243-(+AG243*Y245)),IF(V245="Probabilidad",AG244,""))),"")</f>
        <v>0.30000000000000004</v>
      </c>
      <c r="AH245" s="463" t="str">
        <f t="shared" si="79"/>
        <v>Bajo</v>
      </c>
      <c r="AI245" s="464" t="s">
        <v>192</v>
      </c>
      <c r="AJ245" s="465"/>
      <c r="AK245" s="465"/>
      <c r="AL245" s="466"/>
      <c r="AM245" s="519"/>
      <c r="AN245" s="468"/>
    </row>
    <row r="246" spans="1:40" ht="409.5" x14ac:dyDescent="0.2">
      <c r="A246" s="469">
        <v>112</v>
      </c>
      <c r="B246" s="469" t="s">
        <v>997</v>
      </c>
      <c r="C246" s="470" t="s">
        <v>992</v>
      </c>
      <c r="D246" s="484" t="str">
        <f>IFERROR(INDEX('Base de datos gestión'!$D$28:$D$50,MATCH(C245,'Base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46" s="447" t="str">
        <f>IFERROR(INDEX('Base de datos gestión'!$E$28:$E$50,MATCH(C245,'Base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46" s="476" t="s">
        <v>234</v>
      </c>
      <c r="G246" s="465" t="s">
        <v>998</v>
      </c>
      <c r="H246" s="465" t="s">
        <v>1002</v>
      </c>
      <c r="I246" s="465" t="s">
        <v>1003</v>
      </c>
      <c r="J246" s="481" t="s">
        <v>182</v>
      </c>
      <c r="K246" s="497" t="s">
        <v>768</v>
      </c>
      <c r="L246" s="476">
        <v>5001</v>
      </c>
      <c r="M246" s="450" t="str">
        <f t="shared" si="81"/>
        <v>Muy Alta</v>
      </c>
      <c r="N246" s="451">
        <f t="shared" si="74"/>
        <v>1</v>
      </c>
      <c r="O246" s="452" t="s">
        <v>214</v>
      </c>
      <c r="P246" s="451" t="str">
        <f>IF(NOT(ISERROR(MATCH(O246,'Tabla Impacto'!$B$222:$B$224,0))),'Tabla Impacto'!$F$224&amp;"Por favor no seleccionar los criterios de impacto(Afectación Económica o presupuestal y Pérdida Reputacional)",O246)</f>
        <v xml:space="preserve">     El riesgo afecta la imagen de la entidad con algunos usuarios de relevancia frente al logro de los objetivos</v>
      </c>
      <c r="Q246" s="453" t="str">
        <f>IF(OR(P246='[1]Tabla Impacto'!$C$12,P246='[1]Tabla Impacto'!$D$12),"Leve",IF(OR(P246='[1]Tabla Impacto'!$C$13,P246='[1]Tabla Impacto'!$D$13),"Menor",IF(OR(P246='[1]Tabla Impacto'!$C$14,P246='[1]Tabla Impacto'!$D$14),"Moderado",IF(OR(P246='[1]Tabla Impacto'!$C$15,P246='[1]Tabla Impacto'!$D$15),"Mayor",IF(OR(P246='[1]Tabla Impacto'!$C$16,P246='[1]Tabla Impacto'!$D$16),"Catastrófico","")))))</f>
        <v>Moderado</v>
      </c>
      <c r="R246" s="452">
        <f t="shared" si="67"/>
        <v>0.6</v>
      </c>
      <c r="S246" s="454" t="str">
        <f t="shared" si="68"/>
        <v>Alto</v>
      </c>
      <c r="T246" s="457">
        <v>3</v>
      </c>
      <c r="U246" s="506" t="s">
        <v>1005</v>
      </c>
      <c r="V246" s="457" t="str">
        <f t="shared" si="80"/>
        <v>Probabilidad</v>
      </c>
      <c r="W246" s="458" t="s">
        <v>187</v>
      </c>
      <c r="X246" s="458" t="s">
        <v>188</v>
      </c>
      <c r="Y246" s="459" t="str">
        <f t="shared" si="75"/>
        <v>40%</v>
      </c>
      <c r="Z246" s="458" t="s">
        <v>189</v>
      </c>
      <c r="AA246" s="458" t="s">
        <v>190</v>
      </c>
      <c r="AB246" s="458" t="s">
        <v>191</v>
      </c>
      <c r="AC246" s="460">
        <f>IFERROR(IF(AND(V245="Probabilidad",V246="Probabilidad"),(AE245-(+AE245*Y246)),IF(AND(V245="Impacto",V246="Probabilidad"),(AE244-(+AE244*Y246)),IF(V246="Impacto",AE245,""))),"")</f>
        <v>0.10584</v>
      </c>
      <c r="AD246" s="461" t="str">
        <f t="shared" si="76"/>
        <v>Muy Baja</v>
      </c>
      <c r="AE246" s="462">
        <f t="shared" si="77"/>
        <v>0.10584</v>
      </c>
      <c r="AF246" s="461" t="str">
        <f t="shared" si="78"/>
        <v>Menor</v>
      </c>
      <c r="AG246" s="462">
        <f>IFERROR(IF(AND(V245="Impacto",V246="Impacto"),(AG245-(+AG245*Y246)),IF(AND(V245="Probabilidad",V246="Impacto"),(AG244-(+AG244*Y246)),IF(V246="Probabilidad",AG245,""))),"")</f>
        <v>0.30000000000000004</v>
      </c>
      <c r="AH246" s="463" t="str">
        <f t="shared" si="79"/>
        <v>Bajo</v>
      </c>
      <c r="AI246" s="464" t="s">
        <v>192</v>
      </c>
      <c r="AJ246" s="465"/>
      <c r="AK246" s="465"/>
      <c r="AL246" s="466"/>
      <c r="AM246" s="519"/>
      <c r="AN246" s="468"/>
    </row>
    <row r="247" spans="1:40" ht="409.5" x14ac:dyDescent="0.2">
      <c r="A247" s="478">
        <v>113</v>
      </c>
      <c r="B247" s="478" t="s">
        <v>1006</v>
      </c>
      <c r="C247" s="479" t="s">
        <v>992</v>
      </c>
      <c r="D247" s="484" t="str">
        <f>IFERROR(INDEX('Base de datos gestión'!$D$28:$D$50,MATCH(C246,'Base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47" s="447" t="str">
        <f>IFERROR(INDEX('Base de datos gestión'!$E$28:$E$50,MATCH(C246,'Base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47" s="476" t="s">
        <v>234</v>
      </c>
      <c r="G247" s="465" t="s">
        <v>1007</v>
      </c>
      <c r="H247" s="502" t="s">
        <v>1008</v>
      </c>
      <c r="I247" s="465" t="s">
        <v>1009</v>
      </c>
      <c r="J247" s="520" t="s">
        <v>238</v>
      </c>
      <c r="K247" s="497" t="s">
        <v>331</v>
      </c>
      <c r="L247" s="476">
        <v>5001</v>
      </c>
      <c r="M247" s="450" t="str">
        <f t="shared" si="81"/>
        <v>Muy Alta</v>
      </c>
      <c r="N247" s="451">
        <f t="shared" si="74"/>
        <v>1</v>
      </c>
      <c r="O247" s="452" t="s">
        <v>214</v>
      </c>
      <c r="P247" s="451" t="str">
        <f>IF(NOT(ISERROR(MATCH(O247,'Tabla Impacto'!$B$222:$B$224,0))),'Tabla Impacto'!$F$224&amp;"Por favor no seleccionar los criterios de impacto(Afectación Económica o presupuestal y Pérdida Reputacional)",O247)</f>
        <v xml:space="preserve">     El riesgo afecta la imagen de la entidad con algunos usuarios de relevancia frente al logro de los objetivos</v>
      </c>
      <c r="Q247" s="453" t="str">
        <f>IF(OR(P247='[1]Tabla Impacto'!$C$12,P247='[1]Tabla Impacto'!$D$12),"Leve",IF(OR(P247='[1]Tabla Impacto'!$C$13,P247='[1]Tabla Impacto'!$D$13),"Menor",IF(OR(P247='[1]Tabla Impacto'!$C$14,P247='[1]Tabla Impacto'!$D$14),"Moderado",IF(OR(P247='[1]Tabla Impacto'!$C$15,P247='[1]Tabla Impacto'!$D$15),"Mayor",IF(OR(P247='[1]Tabla Impacto'!$C$16,P247='[1]Tabla Impacto'!$D$16),"Catastrófico","")))))</f>
        <v>Moderado</v>
      </c>
      <c r="R247" s="452">
        <f t="shared" si="67"/>
        <v>0.6</v>
      </c>
      <c r="S247" s="454" t="str">
        <f t="shared" si="68"/>
        <v>Alto</v>
      </c>
      <c r="T247" s="457">
        <v>1</v>
      </c>
      <c r="U247" s="506" t="s">
        <v>1010</v>
      </c>
      <c r="V247" s="457" t="str">
        <f t="shared" si="80"/>
        <v>Probabilidad</v>
      </c>
      <c r="W247" s="458" t="s">
        <v>187</v>
      </c>
      <c r="X247" s="458" t="s">
        <v>188</v>
      </c>
      <c r="Y247" s="459" t="str">
        <f t="shared" si="75"/>
        <v>40%</v>
      </c>
      <c r="Z247" s="458" t="s">
        <v>222</v>
      </c>
      <c r="AA247" s="458" t="s">
        <v>190</v>
      </c>
      <c r="AB247" s="458" t="s">
        <v>191</v>
      </c>
      <c r="AC247" s="460">
        <f>IFERROR(IF(AND(V246="Probabilidad",V247="Probabilidad"),(AE246-(+AE246*Y247)),IF(AND(V246="Impacto",V247="Probabilidad"),(AE245-(+AE245*Y247)),IF(V247="Impacto",AE246,""))),"")</f>
        <v>6.3504000000000005E-2</v>
      </c>
      <c r="AD247" s="461" t="str">
        <f t="shared" si="76"/>
        <v>Muy Baja</v>
      </c>
      <c r="AE247" s="462">
        <f t="shared" si="77"/>
        <v>6.3504000000000005E-2</v>
      </c>
      <c r="AF247" s="461" t="str">
        <f t="shared" si="78"/>
        <v>Menor</v>
      </c>
      <c r="AG247" s="462">
        <f>IFERROR(IF(AND(V246="Impacto",V247="Impacto"),(AG246-(+AG246*Y247)),IF(AND(V246="Probabilidad",V247="Impacto"),(AG245-(+AG245*Y247)),IF(V247="Probabilidad",AG246,""))),"")</f>
        <v>0.30000000000000004</v>
      </c>
      <c r="AH247" s="463" t="str">
        <f t="shared" si="79"/>
        <v>Bajo</v>
      </c>
      <c r="AI247" s="464" t="s">
        <v>192</v>
      </c>
      <c r="AJ247" s="465"/>
      <c r="AK247" s="465"/>
      <c r="AL247" s="466"/>
      <c r="AM247" s="519"/>
      <c r="AN247" s="468"/>
    </row>
    <row r="248" spans="1:40" ht="409.5" x14ac:dyDescent="0.2">
      <c r="A248" s="446">
        <v>114</v>
      </c>
      <c r="B248" s="446" t="s">
        <v>1011</v>
      </c>
      <c r="C248" s="447" t="s">
        <v>992</v>
      </c>
      <c r="D248" s="484" t="str">
        <f>IFERROR(INDEX('Base de datos gestión'!$D$28:$D$50,MATCH(C247,'Base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48" s="447" t="str">
        <f>IFERROR(INDEX('Base de datos gestión'!$E$28:$E$50,MATCH(C247,'Base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48" s="476" t="s">
        <v>234</v>
      </c>
      <c r="G248" s="465" t="s">
        <v>1012</v>
      </c>
      <c r="H248" s="465" t="s">
        <v>1013</v>
      </c>
      <c r="I248" s="465" t="s">
        <v>1014</v>
      </c>
      <c r="J248" s="476" t="s">
        <v>517</v>
      </c>
      <c r="K248" s="497" t="s">
        <v>258</v>
      </c>
      <c r="L248" s="476">
        <v>24</v>
      </c>
      <c r="M248" s="450" t="str">
        <f t="shared" si="81"/>
        <v>Baja</v>
      </c>
      <c r="N248" s="451">
        <f t="shared" si="74"/>
        <v>0.4</v>
      </c>
      <c r="O248" s="452" t="s">
        <v>239</v>
      </c>
      <c r="P248" s="451" t="str">
        <f>IF(NOT(ISERROR(MATCH(O248,'Tabla Impacto'!$B$222:$B$224,0))),'Tabla Impacto'!$F$224&amp;"Por favor no seleccionar los criterios de impacto(Afectación Económica o presupuestal y Pérdida Reputacional)",O248)</f>
        <v xml:space="preserve">     El riesgo afecta la imagen de de la entidad con efecto publicitario sostenido a nivel de sector administrativo, nivel departamental o municipal</v>
      </c>
      <c r="Q248" s="453" t="str">
        <f>IF(OR(P248='[1]Tabla Impacto'!$C$12,P248='[1]Tabla Impacto'!$D$12),"Leve",IF(OR(P248='[1]Tabla Impacto'!$C$13,P248='[1]Tabla Impacto'!$D$13),"Menor",IF(OR(P248='[1]Tabla Impacto'!$C$14,P248='[1]Tabla Impacto'!$D$14),"Moderado",IF(OR(P248='[1]Tabla Impacto'!$C$15,P248='[1]Tabla Impacto'!$D$15),"Mayor",IF(OR(P248='[1]Tabla Impacto'!$C$16,P248='[1]Tabla Impacto'!$D$16),"Catastrófico","")))))</f>
        <v>Mayor</v>
      </c>
      <c r="R248" s="452">
        <f t="shared" si="67"/>
        <v>0.8</v>
      </c>
      <c r="S248" s="454" t="str">
        <f t="shared" si="68"/>
        <v>Alto</v>
      </c>
      <c r="T248" s="457">
        <v>1</v>
      </c>
      <c r="U248" s="506" t="s">
        <v>1015</v>
      </c>
      <c r="V248" s="457" t="str">
        <f t="shared" si="80"/>
        <v>Probabilidad</v>
      </c>
      <c r="W248" s="458" t="s">
        <v>187</v>
      </c>
      <c r="X248" s="458" t="s">
        <v>188</v>
      </c>
      <c r="Y248" s="459" t="str">
        <f t="shared" si="75"/>
        <v>40%</v>
      </c>
      <c r="Z248" s="458" t="s">
        <v>222</v>
      </c>
      <c r="AA248" s="458" t="s">
        <v>190</v>
      </c>
      <c r="AB248" s="458" t="s">
        <v>191</v>
      </c>
      <c r="AC248" s="460">
        <f>IFERROR(IF(V248="Probabilidad",(N248-(+N248*Y248)),IF(V248="Impacto",N248,"")),"")</f>
        <v>0.24</v>
      </c>
      <c r="AD248" s="461" t="str">
        <f t="shared" si="76"/>
        <v>Baja</v>
      </c>
      <c r="AE248" s="462">
        <f t="shared" si="77"/>
        <v>0.24</v>
      </c>
      <c r="AF248" s="461" t="str">
        <f t="shared" si="78"/>
        <v>Mayor</v>
      </c>
      <c r="AG248" s="462">
        <f>IFERROR(IF(V248="Impacto",(R248-(+R248*Y248)),IF(V248="Probabilidad",R248,"")),"")</f>
        <v>0.8</v>
      </c>
      <c r="AH248" s="463" t="str">
        <f t="shared" si="79"/>
        <v>Alto</v>
      </c>
      <c r="AI248" s="464" t="s">
        <v>192</v>
      </c>
      <c r="AJ248" s="465"/>
      <c r="AK248" s="465"/>
      <c r="AL248" s="466"/>
      <c r="AM248" s="519"/>
      <c r="AN248" s="468"/>
    </row>
    <row r="249" spans="1:40" ht="409.5" x14ac:dyDescent="0.2">
      <c r="A249" s="469">
        <v>114</v>
      </c>
      <c r="B249" s="469" t="s">
        <v>1011</v>
      </c>
      <c r="C249" s="470" t="s">
        <v>992</v>
      </c>
      <c r="D249" s="484" t="str">
        <f>IFERROR(INDEX('Base de datos gestión'!$D$28:$D$50,MATCH(C248,'Base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49" s="447" t="str">
        <f>IFERROR(INDEX('Base de datos gestión'!$E$28:$E$50,MATCH(C248,'Base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49" s="476" t="s">
        <v>234</v>
      </c>
      <c r="G249" s="465" t="s">
        <v>1012</v>
      </c>
      <c r="H249" s="465" t="s">
        <v>1016</v>
      </c>
      <c r="I249" s="465" t="s">
        <v>1014</v>
      </c>
      <c r="J249" s="476" t="s">
        <v>517</v>
      </c>
      <c r="K249" s="497" t="s">
        <v>258</v>
      </c>
      <c r="L249" s="476">
        <v>24</v>
      </c>
      <c r="M249" s="450" t="str">
        <f t="shared" si="81"/>
        <v>Baja</v>
      </c>
      <c r="N249" s="451">
        <f t="shared" si="74"/>
        <v>0.4</v>
      </c>
      <c r="O249" s="452" t="s">
        <v>239</v>
      </c>
      <c r="P249" s="451" t="str">
        <f>IF(NOT(ISERROR(MATCH(O249,'Tabla Impacto'!$B$222:$B$224,0))),'Tabla Impacto'!$F$224&amp;"Por favor no seleccionar los criterios de impacto(Afectación Económica o presupuestal y Pérdida Reputacional)",O249)</f>
        <v xml:space="preserve">     El riesgo afecta la imagen de de la entidad con efecto publicitario sostenido a nivel de sector administrativo, nivel departamental o municipal</v>
      </c>
      <c r="Q249" s="453" t="str">
        <f>IF(OR(P249='[1]Tabla Impacto'!$C$12,P249='[1]Tabla Impacto'!$D$12),"Leve",IF(OR(P249='[1]Tabla Impacto'!$C$13,P249='[1]Tabla Impacto'!$D$13),"Menor",IF(OR(P249='[1]Tabla Impacto'!$C$14,P249='[1]Tabla Impacto'!$D$14),"Moderado",IF(OR(P249='[1]Tabla Impacto'!$C$15,P249='[1]Tabla Impacto'!$D$15),"Mayor",IF(OR(P249='[1]Tabla Impacto'!$C$16,P249='[1]Tabla Impacto'!$D$16),"Catastrófico","")))))</f>
        <v>Mayor</v>
      </c>
      <c r="R249" s="452">
        <f t="shared" si="67"/>
        <v>0.8</v>
      </c>
      <c r="S249" s="454" t="str">
        <f t="shared" si="68"/>
        <v>Alto</v>
      </c>
      <c r="T249" s="457">
        <v>2</v>
      </c>
      <c r="U249" s="506" t="s">
        <v>1017</v>
      </c>
      <c r="V249" s="457" t="str">
        <f t="shared" si="80"/>
        <v>Probabilidad</v>
      </c>
      <c r="W249" s="458" t="s">
        <v>187</v>
      </c>
      <c r="X249" s="458" t="s">
        <v>188</v>
      </c>
      <c r="Y249" s="459" t="str">
        <f t="shared" si="75"/>
        <v>40%</v>
      </c>
      <c r="Z249" s="458" t="s">
        <v>189</v>
      </c>
      <c r="AA249" s="458" t="s">
        <v>202</v>
      </c>
      <c r="AB249" s="458" t="s">
        <v>216</v>
      </c>
      <c r="AC249" s="460">
        <f>IFERROR(IF(AND(V248="Probabilidad",V249="Probabilidad"),(AE248-(+AE248*Y249)),IF(V249="Probabilidad",(N248-(+N248*Y249)),IF(V249="Impacto",AE248,""))),"")</f>
        <v>0.14399999999999999</v>
      </c>
      <c r="AD249" s="461" t="str">
        <f t="shared" si="76"/>
        <v>Muy Baja</v>
      </c>
      <c r="AE249" s="462">
        <f t="shared" si="77"/>
        <v>0.14399999999999999</v>
      </c>
      <c r="AF249" s="461" t="str">
        <f t="shared" si="78"/>
        <v>Moderado</v>
      </c>
      <c r="AG249" s="462">
        <f>IFERROR(IF(AND(V248="Impacto",V249="Impacto"),(AG242-(+AG242*Y249)),IF(V249="Impacto",($R$56-(+$R$56*Y249)),IF(V249="Probabilidad",AG242,""))),"")</f>
        <v>0.6</v>
      </c>
      <c r="AH249" s="463" t="str">
        <f t="shared" si="79"/>
        <v>Moderado</v>
      </c>
      <c r="AI249" s="464" t="s">
        <v>192</v>
      </c>
      <c r="AJ249" s="465"/>
      <c r="AK249" s="465"/>
      <c r="AL249" s="466"/>
      <c r="AM249" s="519"/>
      <c r="AN249" s="468"/>
    </row>
    <row r="250" spans="1:40" ht="409.5" x14ac:dyDescent="0.2">
      <c r="A250" s="469">
        <v>114</v>
      </c>
      <c r="B250" s="469" t="s">
        <v>1011</v>
      </c>
      <c r="C250" s="470" t="s">
        <v>992</v>
      </c>
      <c r="D250" s="484" t="str">
        <f>IFERROR(INDEX('Base de datos gestión'!$D$28:$D$50,MATCH(C249,'Base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50" s="447" t="str">
        <f>IFERROR(INDEX('Base de datos gestión'!$E$28:$E$50,MATCH(C249,'Base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50" s="476" t="s">
        <v>234</v>
      </c>
      <c r="G250" s="465" t="s">
        <v>1012</v>
      </c>
      <c r="H250" s="465" t="s">
        <v>1018</v>
      </c>
      <c r="I250" s="465" t="s">
        <v>1014</v>
      </c>
      <c r="J250" s="476" t="s">
        <v>517</v>
      </c>
      <c r="K250" s="497" t="s">
        <v>258</v>
      </c>
      <c r="L250" s="476">
        <v>24</v>
      </c>
      <c r="M250" s="450" t="str">
        <f t="shared" si="81"/>
        <v>Baja</v>
      </c>
      <c r="N250" s="451">
        <f t="shared" si="74"/>
        <v>0.4</v>
      </c>
      <c r="O250" s="452" t="s">
        <v>239</v>
      </c>
      <c r="P250" s="451" t="str">
        <f>IF(NOT(ISERROR(MATCH(O250,'Tabla Impacto'!$B$222:$B$224,0))),'Tabla Impacto'!$F$224&amp;"Por favor no seleccionar los criterios de impacto(Afectación Económica o presupuestal y Pérdida Reputacional)",O250)</f>
        <v xml:space="preserve">     El riesgo afecta la imagen de de la entidad con efecto publicitario sostenido a nivel de sector administrativo, nivel departamental o municipal</v>
      </c>
      <c r="Q250" s="453" t="str">
        <f>IF(OR(P250='[1]Tabla Impacto'!$C$12,P250='[1]Tabla Impacto'!$D$12),"Leve",IF(OR(P250='[1]Tabla Impacto'!$C$13,P250='[1]Tabla Impacto'!$D$13),"Menor",IF(OR(P250='[1]Tabla Impacto'!$C$14,P250='[1]Tabla Impacto'!$D$14),"Moderado",IF(OR(P250='[1]Tabla Impacto'!$C$15,P250='[1]Tabla Impacto'!$D$15),"Mayor",IF(OR(P250='[1]Tabla Impacto'!$C$16,P250='[1]Tabla Impacto'!$D$16),"Catastrófico","")))))</f>
        <v>Mayor</v>
      </c>
      <c r="R250" s="452">
        <f t="shared" si="67"/>
        <v>0.8</v>
      </c>
      <c r="S250" s="454" t="str">
        <f t="shared" si="68"/>
        <v>Alto</v>
      </c>
      <c r="T250" s="457">
        <v>3</v>
      </c>
      <c r="U250" s="506" t="s">
        <v>1019</v>
      </c>
      <c r="V250" s="457" t="str">
        <f t="shared" si="80"/>
        <v>Probabilidad</v>
      </c>
      <c r="W250" s="458" t="s">
        <v>187</v>
      </c>
      <c r="X250" s="458" t="s">
        <v>188</v>
      </c>
      <c r="Y250" s="459" t="str">
        <f t="shared" si="75"/>
        <v>40%</v>
      </c>
      <c r="Z250" s="458" t="s">
        <v>222</v>
      </c>
      <c r="AA250" s="458" t="s">
        <v>190</v>
      </c>
      <c r="AB250" s="458" t="s">
        <v>191</v>
      </c>
      <c r="AC250" s="460">
        <f>IFERROR(IF(AND(V249="Probabilidad",V250="Probabilidad"),(AE249-(+AE249*Y250)),IF(AND(V249="Impacto",V250="Probabilidad"),(AE248-(+AE248*Y250)),IF(V250="Impacto",AE249,""))),"")</f>
        <v>8.6399999999999991E-2</v>
      </c>
      <c r="AD250" s="461" t="str">
        <f t="shared" si="76"/>
        <v>Muy Baja</v>
      </c>
      <c r="AE250" s="462">
        <f t="shared" si="77"/>
        <v>8.6399999999999991E-2</v>
      </c>
      <c r="AF250" s="461" t="str">
        <f t="shared" si="78"/>
        <v>Moderado</v>
      </c>
      <c r="AG250" s="462">
        <f>IFERROR(IF(AND(V249="Impacto",V250="Impacto"),(AG249-(+AG249*Y250)),IF(AND(V249="Probabilidad",V250="Impacto"),(AG248-(+AG248*Y250)),IF(V250="Probabilidad",AG249,""))),"")</f>
        <v>0.6</v>
      </c>
      <c r="AH250" s="463" t="str">
        <f t="shared" si="79"/>
        <v>Moderado</v>
      </c>
      <c r="AI250" s="464" t="s">
        <v>192</v>
      </c>
      <c r="AJ250" s="465"/>
      <c r="AK250" s="465"/>
      <c r="AL250" s="466"/>
      <c r="AM250" s="519"/>
      <c r="AN250" s="468"/>
    </row>
    <row r="251" spans="1:40" ht="409.5" x14ac:dyDescent="0.2">
      <c r="A251" s="469">
        <v>115</v>
      </c>
      <c r="B251" s="469" t="s">
        <v>1020</v>
      </c>
      <c r="C251" s="470" t="s">
        <v>992</v>
      </c>
      <c r="D251" s="484" t="str">
        <f>IFERROR(INDEX('Base de datos gestión'!$D$28:$D$50,MATCH(C250,'Base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51" s="447" t="str">
        <f>IFERROR(INDEX('Base de datos gestión'!$E$28:$E$50,MATCH(C250,'Base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51" s="476" t="s">
        <v>178</v>
      </c>
      <c r="G251" s="465" t="s">
        <v>1021</v>
      </c>
      <c r="H251" s="465" t="s">
        <v>1022</v>
      </c>
      <c r="I251" s="465" t="s">
        <v>1023</v>
      </c>
      <c r="J251" s="520" t="s">
        <v>687</v>
      </c>
      <c r="K251" s="497" t="s">
        <v>320</v>
      </c>
      <c r="L251" s="476">
        <v>5001</v>
      </c>
      <c r="M251" s="450" t="str">
        <f t="shared" si="81"/>
        <v>Muy Alta</v>
      </c>
      <c r="N251" s="451">
        <f t="shared" si="74"/>
        <v>1</v>
      </c>
      <c r="O251" s="452" t="s">
        <v>214</v>
      </c>
      <c r="P251" s="451" t="str">
        <f>IF(NOT(ISERROR(MATCH(O251,'Tabla Impacto'!$B$222:$B$224,0))),'Tabla Impacto'!$F$224&amp;"Por favor no seleccionar los criterios de impacto(Afectación Económica o presupuestal y Pérdida Reputacional)",O251)</f>
        <v xml:space="preserve">     El riesgo afecta la imagen de la entidad con algunos usuarios de relevancia frente al logro de los objetivos</v>
      </c>
      <c r="Q251" s="453" t="str">
        <f>IF(OR(P251='[1]Tabla Impacto'!$C$12,P251='[1]Tabla Impacto'!$D$12),"Leve",IF(OR(P251='[1]Tabla Impacto'!$C$13,P251='[1]Tabla Impacto'!$D$13),"Menor",IF(OR(P251='[1]Tabla Impacto'!$C$14,P251='[1]Tabla Impacto'!$D$14),"Moderado",IF(OR(P251='[1]Tabla Impacto'!$C$15,P251='[1]Tabla Impacto'!$D$15),"Mayor",IF(OR(P251='[1]Tabla Impacto'!$C$16,P251='[1]Tabla Impacto'!$D$16),"Catastrófico","")))))</f>
        <v>Moderado</v>
      </c>
      <c r="R251" s="452">
        <f t="shared" si="67"/>
        <v>0.6</v>
      </c>
      <c r="S251" s="454" t="str">
        <f t="shared" si="68"/>
        <v>Alto</v>
      </c>
      <c r="T251" s="457">
        <v>1</v>
      </c>
      <c r="U251" s="506" t="s">
        <v>1024</v>
      </c>
      <c r="V251" s="457" t="str">
        <f t="shared" si="80"/>
        <v>Probabilidad</v>
      </c>
      <c r="W251" s="458" t="s">
        <v>187</v>
      </c>
      <c r="X251" s="458" t="s">
        <v>188</v>
      </c>
      <c r="Y251" s="459" t="str">
        <f t="shared" si="75"/>
        <v>40%</v>
      </c>
      <c r="Z251" s="458" t="s">
        <v>222</v>
      </c>
      <c r="AA251" s="458" t="s">
        <v>202</v>
      </c>
      <c r="AB251" s="458" t="s">
        <v>191</v>
      </c>
      <c r="AC251" s="460">
        <f>IFERROR(IF(AND(V250="Probabilidad",V251="Probabilidad"),(AE250-(+AE250*Y251)),IF(AND(V250="Impacto",V251="Probabilidad"),(AE249-(+AE249*Y251)),IF(V251="Impacto",AE250,""))),"")</f>
        <v>5.183999999999999E-2</v>
      </c>
      <c r="AD251" s="461" t="str">
        <f t="shared" si="76"/>
        <v>Muy Baja</v>
      </c>
      <c r="AE251" s="462">
        <f t="shared" si="77"/>
        <v>5.183999999999999E-2</v>
      </c>
      <c r="AF251" s="461" t="str">
        <f t="shared" si="78"/>
        <v>Moderado</v>
      </c>
      <c r="AG251" s="462">
        <f>IFERROR(IF(AND(V250="Impacto",V251="Impacto"),(AG250-(+AG250*Y251)),IF(AND(V250="Probabilidad",V251="Impacto"),(AG249-(+AG249*Y251)),IF(V251="Probabilidad",AG250,""))),"")</f>
        <v>0.6</v>
      </c>
      <c r="AH251" s="463" t="str">
        <f t="shared" si="79"/>
        <v>Moderado</v>
      </c>
      <c r="AI251" s="464" t="s">
        <v>192</v>
      </c>
      <c r="AJ251" s="465"/>
      <c r="AK251" s="465"/>
      <c r="AL251" s="467"/>
      <c r="AM251" s="519"/>
      <c r="AN251" s="468"/>
    </row>
    <row r="252" spans="1:40" ht="409.5" x14ac:dyDescent="0.2">
      <c r="A252" s="469">
        <v>116</v>
      </c>
      <c r="B252" s="469" t="s">
        <v>1025</v>
      </c>
      <c r="C252" s="470" t="s">
        <v>992</v>
      </c>
      <c r="D252" s="484" t="str">
        <f>IFERROR(INDEX('Base de datos gestión'!$D$28:$D$50,MATCH(C251,'Base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52" s="447" t="str">
        <f>IFERROR(INDEX('Base de datos gestión'!$E$28:$E$50,MATCH(C251,'Base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52" s="476" t="s">
        <v>178</v>
      </c>
      <c r="G252" s="465" t="s">
        <v>1026</v>
      </c>
      <c r="H252" s="465" t="s">
        <v>1027</v>
      </c>
      <c r="I252" s="465" t="s">
        <v>1028</v>
      </c>
      <c r="J252" s="481" t="s">
        <v>1029</v>
      </c>
      <c r="K252" s="497" t="s">
        <v>258</v>
      </c>
      <c r="L252" s="476">
        <v>5000</v>
      </c>
      <c r="M252" s="450" t="str">
        <f t="shared" si="81"/>
        <v>Alta</v>
      </c>
      <c r="N252" s="451">
        <f t="shared" si="74"/>
        <v>0.8</v>
      </c>
      <c r="O252" s="452" t="s">
        <v>239</v>
      </c>
      <c r="P252" s="451" t="str">
        <f>IF(NOT(ISERROR(MATCH(O252,'Tabla Impacto'!$B$222:$B$224,0))),'Tabla Impacto'!$F$224&amp;"Por favor no seleccionar los criterios de impacto(Afectación Económica o presupuestal y Pérdida Reputacional)",O252)</f>
        <v xml:space="preserve">     El riesgo afecta la imagen de de la entidad con efecto publicitario sostenido a nivel de sector administrativo, nivel departamental o municipal</v>
      </c>
      <c r="Q252" s="453" t="str">
        <f>IF(OR(P252='[1]Tabla Impacto'!$C$12,P252='[1]Tabla Impacto'!$D$12),"Leve",IF(OR(P252='[1]Tabla Impacto'!$C$13,P252='[1]Tabla Impacto'!$D$13),"Menor",IF(OR(P252='[1]Tabla Impacto'!$C$14,P252='[1]Tabla Impacto'!$D$14),"Moderado",IF(OR(P252='[1]Tabla Impacto'!$C$15,P252='[1]Tabla Impacto'!$D$15),"Mayor",IF(OR(P252='[1]Tabla Impacto'!$C$16,P252='[1]Tabla Impacto'!$D$16),"Catastrófico","")))))</f>
        <v>Mayor</v>
      </c>
      <c r="R252" s="452">
        <f t="shared" si="67"/>
        <v>0.8</v>
      </c>
      <c r="S252" s="454" t="str">
        <f t="shared" si="68"/>
        <v>Alto</v>
      </c>
      <c r="T252" s="457">
        <v>1</v>
      </c>
      <c r="U252" s="506" t="s">
        <v>1030</v>
      </c>
      <c r="V252" s="457" t="str">
        <f t="shared" si="80"/>
        <v>Probabilidad</v>
      </c>
      <c r="W252" s="458" t="s">
        <v>187</v>
      </c>
      <c r="X252" s="458" t="s">
        <v>188</v>
      </c>
      <c r="Y252" s="459" t="str">
        <f t="shared" si="75"/>
        <v>40%</v>
      </c>
      <c r="Z252" s="458" t="s">
        <v>222</v>
      </c>
      <c r="AA252" s="458" t="s">
        <v>190</v>
      </c>
      <c r="AB252" s="458" t="s">
        <v>191</v>
      </c>
      <c r="AC252" s="460">
        <f>IFERROR(IF(AND(V251="Probabilidad",V252="Probabilidad"),(AE251-(+AE251*Y252)),IF(AND(V251="Impacto",V252="Probabilidad"),(AE250-(+AE250*Y252)),IF(V252="Impacto",AE251,""))),"")</f>
        <v>3.1103999999999993E-2</v>
      </c>
      <c r="AD252" s="461" t="str">
        <f t="shared" si="76"/>
        <v>Muy Baja</v>
      </c>
      <c r="AE252" s="462">
        <f t="shared" si="77"/>
        <v>3.1103999999999993E-2</v>
      </c>
      <c r="AF252" s="461" t="str">
        <f t="shared" si="78"/>
        <v>Moderado</v>
      </c>
      <c r="AG252" s="462">
        <f>IFERROR(IF(AND(V251="Impacto",V252="Impacto"),(AG251-(+AG251*Y252)),IF(AND(V251="Probabilidad",V252="Impacto"),(AG250-(+AG250*Y252)),IF(V252="Probabilidad",AG251,""))),"")</f>
        <v>0.6</v>
      </c>
      <c r="AH252" s="463" t="str">
        <f t="shared" si="79"/>
        <v>Moderado</v>
      </c>
      <c r="AI252" s="464" t="s">
        <v>192</v>
      </c>
      <c r="AJ252" s="465"/>
      <c r="AK252" s="465"/>
      <c r="AL252" s="466"/>
      <c r="AM252" s="519"/>
      <c r="AN252" s="468"/>
    </row>
    <row r="253" spans="1:40" ht="409.5" x14ac:dyDescent="0.2">
      <c r="A253" s="478">
        <v>117</v>
      </c>
      <c r="B253" s="478" t="s">
        <v>1031</v>
      </c>
      <c r="C253" s="479" t="s">
        <v>992</v>
      </c>
      <c r="D253" s="484" t="str">
        <f>IFERROR(INDEX('Base de datos gestión'!$D$28:$D$50,MATCH(C252,'Base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53" s="447" t="str">
        <f>IFERROR(INDEX('Base de datos gestión'!$E$28:$E$50,MATCH(C252,'Base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53" s="476" t="s">
        <v>445</v>
      </c>
      <c r="G253" s="465" t="s">
        <v>1032</v>
      </c>
      <c r="H253" s="465" t="s">
        <v>1033</v>
      </c>
      <c r="I253" s="465" t="s">
        <v>1034</v>
      </c>
      <c r="J253" s="481" t="s">
        <v>408</v>
      </c>
      <c r="K253" s="497" t="s">
        <v>258</v>
      </c>
      <c r="L253" s="476">
        <v>500</v>
      </c>
      <c r="M253" s="450" t="str">
        <f t="shared" si="81"/>
        <v>Media</v>
      </c>
      <c r="N253" s="451">
        <f t="shared" si="74"/>
        <v>0.6</v>
      </c>
      <c r="O253" s="452" t="s">
        <v>769</v>
      </c>
      <c r="P253" s="451" t="str">
        <f>IF(NOT(ISERROR(MATCH(O253,'Tabla Impacto'!$B$222:$B$224,0))),'Tabla Impacto'!$F$224&amp;"Por favor no seleccionar los criterios de impacto(Afectación Económica o presupuestal y Pérdida Reputacional)",O253)</f>
        <v xml:space="preserve">     Entre 100 y 500 SMLMV </v>
      </c>
      <c r="Q253" s="453" t="str">
        <f>IF(OR(P253='[1]Tabla Impacto'!$C$12,P253='[1]Tabla Impacto'!$D$12),"Leve",IF(OR(P253='[1]Tabla Impacto'!$C$13,P253='[1]Tabla Impacto'!$D$13),"Menor",IF(OR(P253='[1]Tabla Impacto'!$C$14,P253='[1]Tabla Impacto'!$D$14),"Moderado",IF(OR(P253='[1]Tabla Impacto'!$C$15,P253='[1]Tabla Impacto'!$D$15),"Mayor",IF(OR(P253='[1]Tabla Impacto'!$C$16,P253='[1]Tabla Impacto'!$D$16),"Catastrófico","")))))</f>
        <v>Mayor</v>
      </c>
      <c r="R253" s="452">
        <f t="shared" si="67"/>
        <v>0.8</v>
      </c>
      <c r="S253" s="454" t="str">
        <f t="shared" si="68"/>
        <v>Alto</v>
      </c>
      <c r="T253" s="457">
        <v>1</v>
      </c>
      <c r="U253" s="506" t="s">
        <v>1017</v>
      </c>
      <c r="V253" s="457" t="str">
        <f t="shared" si="80"/>
        <v>Probabilidad</v>
      </c>
      <c r="W253" s="458" t="s">
        <v>187</v>
      </c>
      <c r="X253" s="458" t="s">
        <v>188</v>
      </c>
      <c r="Y253" s="459" t="str">
        <f t="shared" si="75"/>
        <v>40%</v>
      </c>
      <c r="Z253" s="458" t="s">
        <v>189</v>
      </c>
      <c r="AA253" s="458" t="s">
        <v>202</v>
      </c>
      <c r="AB253" s="458" t="s">
        <v>216</v>
      </c>
      <c r="AC253" s="460">
        <f>IFERROR(IF(AND(V252="Probabilidad",V253="Probabilidad"),(AE252-(+AE252*Y253)),IF(AND(V252="Impacto",V253="Probabilidad"),(AE251-(+AE251*Y253)),IF(V253="Impacto",AE252,""))),"")</f>
        <v>1.8662399999999996E-2</v>
      </c>
      <c r="AD253" s="461" t="str">
        <f t="shared" si="76"/>
        <v>Muy Baja</v>
      </c>
      <c r="AE253" s="462">
        <f t="shared" si="77"/>
        <v>1.8662399999999996E-2</v>
      </c>
      <c r="AF253" s="461" t="str">
        <f t="shared" si="78"/>
        <v>Moderado</v>
      </c>
      <c r="AG253" s="462">
        <f>IFERROR(IF(AND(V252="Impacto",V253="Impacto"),(AG252-(+AG252*Y253)),IF(AND(V252="Probabilidad",V253="Impacto"),(AG251-(+AG251*Y253)),IF(V253="Probabilidad",AG252,""))),"")</f>
        <v>0.6</v>
      </c>
      <c r="AH253" s="463" t="str">
        <f t="shared" si="79"/>
        <v>Moderado</v>
      </c>
      <c r="AI253" s="464" t="s">
        <v>192</v>
      </c>
      <c r="AJ253" s="465"/>
      <c r="AK253" s="465"/>
      <c r="AL253" s="466"/>
      <c r="AM253" s="519"/>
      <c r="AN253" s="468"/>
    </row>
    <row r="254" spans="1:40" ht="409.5" x14ac:dyDescent="0.2">
      <c r="A254" s="446">
        <v>118</v>
      </c>
      <c r="B254" s="446" t="s">
        <v>1035</v>
      </c>
      <c r="C254" s="447" t="s">
        <v>992</v>
      </c>
      <c r="D254" s="484" t="str">
        <f>IFERROR(INDEX('Base de datos gestión'!$D$28:$D$50,MATCH(C253,'Base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54" s="447" t="str">
        <f>IFERROR(INDEX('Base de datos gestión'!$E$28:$E$50,MATCH(C253,'Base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54" s="476" t="s">
        <v>445</v>
      </c>
      <c r="G254" s="465" t="s">
        <v>1036</v>
      </c>
      <c r="H254" s="465" t="s">
        <v>1037</v>
      </c>
      <c r="I254" s="465" t="s">
        <v>1038</v>
      </c>
      <c r="J254" s="481" t="s">
        <v>238</v>
      </c>
      <c r="K254" s="497" t="s">
        <v>258</v>
      </c>
      <c r="L254" s="476">
        <v>24</v>
      </c>
      <c r="M254" s="450" t="str">
        <f t="shared" si="81"/>
        <v>Baja</v>
      </c>
      <c r="N254" s="451">
        <f t="shared" si="74"/>
        <v>0.4</v>
      </c>
      <c r="O254" s="452" t="s">
        <v>831</v>
      </c>
      <c r="P254" s="451" t="str">
        <f>IF(NOT(ISERROR(MATCH(O254,'Tabla Impacto'!$B$222:$B$224,0))),'Tabla Impacto'!$F$224&amp;"Por favor no seleccionar los criterios de impacto(Afectación Económica o presupuestal y Pérdida Reputacional)",O254)</f>
        <v xml:space="preserve">     Mayor a 500 SMLMV </v>
      </c>
      <c r="Q254" s="453" t="str">
        <f>IF(OR(P254='[1]Tabla Impacto'!$C$12,P254='[1]Tabla Impacto'!$D$12),"Leve",IF(OR(P254='[1]Tabla Impacto'!$C$13,P254='[1]Tabla Impacto'!$D$13),"Menor",IF(OR(P254='[1]Tabla Impacto'!$C$14,P254='[1]Tabla Impacto'!$D$14),"Moderado",IF(OR(P254='[1]Tabla Impacto'!$C$15,P254='[1]Tabla Impacto'!$D$15),"Mayor",IF(OR(P254='[1]Tabla Impacto'!$C$16,P254='[1]Tabla Impacto'!$D$16),"Catastrófico","")))))</f>
        <v>Catastrófico</v>
      </c>
      <c r="R254" s="452">
        <f t="shared" ref="R254:R261" si="82">IF(Q254="","",IF(Q254="Leve",0.2,IF(Q254="Menor",0.4,IF(Q254="Moderado",0.6,IF(Q254="Mayor",0.8,IF(Q254="Catastrófico",1,))))))</f>
        <v>1</v>
      </c>
      <c r="S254" s="454" t="str">
        <f t="shared" ref="S254:S261" si="83">IF(OR(AND(M254="Muy Baja",Q254="Leve"),AND(M254="Muy Baja",Q254="Menor"),AND(M254="Baja",Q254="Leve")),"Bajo",IF(OR(AND(M254="Muy baja",Q254="Moderado"),AND(M254="Baja",Q254="Menor"),AND(M254="Baja",Q254="Moderado"),AND(M254="Media",Q254="Leve"),AND(M254="Media",Q254="Menor"),AND(M254="Media",Q254="Moderado"),AND(M254="Alta",Q254="Leve"),AND(M254="Alta",Q254="Menor")),"Moderado",IF(OR(AND(M254="Muy Baja",Q254="Mayor"),AND(M254="Baja",Q254="Mayor"),AND(M254="Media",Q254="Mayor"),AND(M254="Alta",Q254="Moderado"),AND(M254="Alta",Q254="Mayor"),AND(M254="Muy Alta",Q254="Leve"),AND(M254="Muy Alta",Q254="Menor"),AND(M254="Muy Alta",Q254="Moderado"),AND(M254="Muy Alta",Q254="Mayor")),"Alto",IF(OR(AND(M254="Muy Baja",Q254="Catastrófico"),AND(M254="Baja",Q254="Catastrófico"),AND(M254="Media",Q254="Catastrófico"),AND(M254="Alta",Q254="Catastrófico"),AND(M254="Muy Alta",Q254="Catastrófico")),"Extremo",""))))</f>
        <v>Extremo</v>
      </c>
      <c r="T254" s="457">
        <v>1</v>
      </c>
      <c r="U254" s="506" t="s">
        <v>1039</v>
      </c>
      <c r="V254" s="457" t="str">
        <f t="shared" si="80"/>
        <v>Probabilidad</v>
      </c>
      <c r="W254" s="458" t="s">
        <v>187</v>
      </c>
      <c r="X254" s="458" t="s">
        <v>188</v>
      </c>
      <c r="Y254" s="459" t="str">
        <f t="shared" si="75"/>
        <v>40%</v>
      </c>
      <c r="Z254" s="458" t="s">
        <v>222</v>
      </c>
      <c r="AA254" s="458" t="s">
        <v>190</v>
      </c>
      <c r="AB254" s="458" t="s">
        <v>191</v>
      </c>
      <c r="AC254" s="460">
        <f>IFERROR(IF(V254="Probabilidad",(N254-(+N254*Y254)),IF(V254="Impacto",N254,"")),"")</f>
        <v>0.24</v>
      </c>
      <c r="AD254" s="461" t="str">
        <f t="shared" si="76"/>
        <v>Baja</v>
      </c>
      <c r="AE254" s="462">
        <f t="shared" si="77"/>
        <v>0.24</v>
      </c>
      <c r="AF254" s="461" t="str">
        <f t="shared" si="78"/>
        <v>Catastrófico</v>
      </c>
      <c r="AG254" s="462">
        <f>IFERROR(IF(V254="Impacto",(R254-(+R254*Y254)),IF(V254="Probabilidad",R254,"")),"")</f>
        <v>1</v>
      </c>
      <c r="AH254" s="463" t="str">
        <f t="shared" si="79"/>
        <v>Extremo</v>
      </c>
      <c r="AI254" s="464" t="s">
        <v>192</v>
      </c>
      <c r="AJ254" s="465"/>
      <c r="AK254" s="465"/>
      <c r="AL254" s="466"/>
      <c r="AM254" s="519"/>
      <c r="AN254" s="468"/>
    </row>
    <row r="255" spans="1:40" ht="409.5" x14ac:dyDescent="0.2">
      <c r="A255" s="469">
        <v>119</v>
      </c>
      <c r="B255" s="469" t="s">
        <v>1040</v>
      </c>
      <c r="C255" s="470" t="s">
        <v>992</v>
      </c>
      <c r="D255" s="484" t="str">
        <f>IFERROR(INDEX('Base de datos gestión'!$D$28:$D$50,MATCH(C254,'Base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55" s="447" t="str">
        <f>IFERROR(INDEX('Base de datos gestión'!$E$28:$E$50,MATCH(C254,'Base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55" s="476" t="s">
        <v>234</v>
      </c>
      <c r="G255" s="465" t="s">
        <v>1041</v>
      </c>
      <c r="H255" s="465" t="s">
        <v>1042</v>
      </c>
      <c r="I255" s="465" t="s">
        <v>1043</v>
      </c>
      <c r="J255" s="481" t="s">
        <v>687</v>
      </c>
      <c r="K255" s="497" t="s">
        <v>768</v>
      </c>
      <c r="L255" s="476">
        <v>500</v>
      </c>
      <c r="M255" s="450" t="str">
        <f t="shared" si="81"/>
        <v>Media</v>
      </c>
      <c r="N255" s="451">
        <f t="shared" si="74"/>
        <v>0.6</v>
      </c>
      <c r="O255" s="452" t="s">
        <v>239</v>
      </c>
      <c r="P255" s="451" t="str">
        <f>IF(NOT(ISERROR(MATCH(O255,'Tabla Impacto'!$B$222:$B$224,0))),'Tabla Impacto'!$F$224&amp;"Por favor no seleccionar los criterios de impacto(Afectación Económica o presupuestal y Pérdida Reputacional)",O255)</f>
        <v xml:space="preserve">     El riesgo afecta la imagen de de la entidad con efecto publicitario sostenido a nivel de sector administrativo, nivel departamental o municipal</v>
      </c>
      <c r="Q255" s="453" t="str">
        <f>IF(OR(P255='[1]Tabla Impacto'!$C$12,P255='[1]Tabla Impacto'!$D$12),"Leve",IF(OR(P255='[1]Tabla Impacto'!$C$13,P255='[1]Tabla Impacto'!$D$13),"Menor",IF(OR(P255='[1]Tabla Impacto'!$C$14,P255='[1]Tabla Impacto'!$D$14),"Moderado",IF(OR(P255='[1]Tabla Impacto'!$C$15,P255='[1]Tabla Impacto'!$D$15),"Mayor",IF(OR(P255='[1]Tabla Impacto'!$C$16,P255='[1]Tabla Impacto'!$D$16),"Catastrófico","")))))</f>
        <v>Mayor</v>
      </c>
      <c r="R255" s="452">
        <f t="shared" si="82"/>
        <v>0.8</v>
      </c>
      <c r="S255" s="454" t="str">
        <f t="shared" si="83"/>
        <v>Alto</v>
      </c>
      <c r="T255" s="457">
        <v>1</v>
      </c>
      <c r="U255" s="506" t="s">
        <v>1044</v>
      </c>
      <c r="V255" s="457" t="str">
        <f t="shared" si="80"/>
        <v>Probabilidad</v>
      </c>
      <c r="W255" s="458" t="s">
        <v>187</v>
      </c>
      <c r="X255" s="458" t="s">
        <v>188</v>
      </c>
      <c r="Y255" s="459" t="str">
        <f t="shared" si="75"/>
        <v>40%</v>
      </c>
      <c r="Z255" s="458" t="s">
        <v>222</v>
      </c>
      <c r="AA255" s="458" t="s">
        <v>190</v>
      </c>
      <c r="AB255" s="458" t="s">
        <v>191</v>
      </c>
      <c r="AC255" s="460">
        <f>IFERROR(IF(AND(V254="Probabilidad",V255="Probabilidad"),(AE254-(+AE254*Y255)),IF(V255="Probabilidad",(N254-(+N254*Y255)),IF(V255="Impacto",AE254,""))),"")</f>
        <v>0.14399999999999999</v>
      </c>
      <c r="AD255" s="461" t="str">
        <f t="shared" si="76"/>
        <v>Muy Baja</v>
      </c>
      <c r="AE255" s="462">
        <f t="shared" si="77"/>
        <v>0.14399999999999999</v>
      </c>
      <c r="AF255" s="461" t="str">
        <f t="shared" si="78"/>
        <v>Mayor</v>
      </c>
      <c r="AG255" s="462">
        <f>IFERROR(IF(AND(V254="Impacto",V255="Impacto"),(AG248-(+AG248*Y255)),IF(V255="Impacto",($R$50-(+$R$50*Y255)),IF(V255="Probabilidad",AG248,""))),"")</f>
        <v>0.8</v>
      </c>
      <c r="AH255" s="463" t="str">
        <f t="shared" si="79"/>
        <v>Alto</v>
      </c>
      <c r="AI255" s="464" t="s">
        <v>192</v>
      </c>
      <c r="AJ255" s="465"/>
      <c r="AK255" s="465"/>
      <c r="AL255" s="466"/>
      <c r="AM255" s="519"/>
      <c r="AN255" s="468"/>
    </row>
    <row r="256" spans="1:40" ht="409.5" x14ac:dyDescent="0.2">
      <c r="A256" s="469">
        <v>120</v>
      </c>
      <c r="B256" s="469" t="s">
        <v>1045</v>
      </c>
      <c r="C256" s="470" t="s">
        <v>992</v>
      </c>
      <c r="D256" s="484" t="str">
        <f>IFERROR(INDEX('Base de datos gestión'!$D$28:$D$50,MATCH(C255,'Base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56" s="447" t="str">
        <f>IFERROR(INDEX('Base de datos gestión'!$E$28:$E$50,MATCH(C255,'Base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56" s="476" t="s">
        <v>178</v>
      </c>
      <c r="G256" s="465" t="s">
        <v>1046</v>
      </c>
      <c r="H256" s="465" t="s">
        <v>1047</v>
      </c>
      <c r="I256" s="608" t="s">
        <v>1043</v>
      </c>
      <c r="J256" s="520" t="s">
        <v>238</v>
      </c>
      <c r="K256" s="497" t="s">
        <v>320</v>
      </c>
      <c r="L256" s="476">
        <v>500</v>
      </c>
      <c r="M256" s="450" t="str">
        <f t="shared" si="81"/>
        <v>Media</v>
      </c>
      <c r="N256" s="451">
        <f t="shared" si="74"/>
        <v>0.6</v>
      </c>
      <c r="O256" s="452" t="s">
        <v>239</v>
      </c>
      <c r="P256" s="451" t="str">
        <f>IF(NOT(ISERROR(MATCH(O256,'Tabla Impacto'!$B$222:$B$224,0))),'Tabla Impacto'!$F$224&amp;"Por favor no seleccionar los criterios de impacto(Afectación Económica o presupuestal y Pérdida Reputacional)",O256)</f>
        <v xml:space="preserve">     El riesgo afecta la imagen de de la entidad con efecto publicitario sostenido a nivel de sector administrativo, nivel departamental o municipal</v>
      </c>
      <c r="Q256" s="453" t="str">
        <f>IF(OR(P256='[1]Tabla Impacto'!$C$12,P256='[1]Tabla Impacto'!$D$12),"Leve",IF(OR(P256='[1]Tabla Impacto'!$C$13,P256='[1]Tabla Impacto'!$D$13),"Menor",IF(OR(P256='[1]Tabla Impacto'!$C$14,P256='[1]Tabla Impacto'!$D$14),"Moderado",IF(OR(P256='[1]Tabla Impacto'!$C$15,P256='[1]Tabla Impacto'!$D$15),"Mayor",IF(OR(P256='[1]Tabla Impacto'!$C$16,P256='[1]Tabla Impacto'!$D$16),"Catastrófico","")))))</f>
        <v>Mayor</v>
      </c>
      <c r="R256" s="452">
        <f t="shared" si="82"/>
        <v>0.8</v>
      </c>
      <c r="S256" s="454" t="str">
        <f t="shared" si="83"/>
        <v>Alto</v>
      </c>
      <c r="T256" s="457">
        <v>1</v>
      </c>
      <c r="U256" s="609" t="s">
        <v>1048</v>
      </c>
      <c r="V256" s="457" t="str">
        <f t="shared" si="80"/>
        <v>Probabilidad</v>
      </c>
      <c r="W256" s="458" t="s">
        <v>187</v>
      </c>
      <c r="X256" s="458" t="s">
        <v>188</v>
      </c>
      <c r="Y256" s="459" t="str">
        <f t="shared" si="75"/>
        <v>40%</v>
      </c>
      <c r="Z256" s="458" t="s">
        <v>222</v>
      </c>
      <c r="AA256" s="458" t="s">
        <v>190</v>
      </c>
      <c r="AB256" s="458" t="s">
        <v>191</v>
      </c>
      <c r="AC256" s="460">
        <f>IFERROR(IF(AND(V255="Probabilidad",V256="Probabilidad"),(AE255-(+AE255*Y256)),IF(AND(V255="Impacto",V256="Probabilidad"),(AE254-(+AE254*Y256)),IF(V256="Impacto",AE255,""))),"")</f>
        <v>8.6399999999999991E-2</v>
      </c>
      <c r="AD256" s="461" t="str">
        <f t="shared" si="76"/>
        <v>Muy Baja</v>
      </c>
      <c r="AE256" s="462">
        <f t="shared" si="77"/>
        <v>8.6399999999999991E-2</v>
      </c>
      <c r="AF256" s="461" t="str">
        <f t="shared" si="78"/>
        <v>Mayor</v>
      </c>
      <c r="AG256" s="462">
        <f>IFERROR(IF(AND(V255="Impacto",V256="Impacto"),(AG255-(+AG255*Y256)),IF(AND(V255="Probabilidad",V256="Impacto"),(AG254-(+AG254*Y256)),IF(V256="Probabilidad",AG255,""))),"")</f>
        <v>0.8</v>
      </c>
      <c r="AH256" s="463" t="str">
        <f t="shared" si="79"/>
        <v>Alto</v>
      </c>
      <c r="AI256" s="464" t="s">
        <v>192</v>
      </c>
      <c r="AJ256" s="465"/>
      <c r="AK256" s="465"/>
      <c r="AL256" s="466"/>
      <c r="AM256" s="519"/>
      <c r="AN256" s="468"/>
    </row>
    <row r="257" spans="1:40" ht="409.5" x14ac:dyDescent="0.2">
      <c r="A257" s="469">
        <v>121</v>
      </c>
      <c r="B257" s="469" t="s">
        <v>1049</v>
      </c>
      <c r="C257" s="470" t="s">
        <v>992</v>
      </c>
      <c r="D257" s="484" t="str">
        <f>IFERROR(INDEX('Base de datos gestión'!$D$28:$D$50,MATCH(C256,'Base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57" s="447" t="str">
        <f>IFERROR(INDEX('Base de datos gestión'!$E$28:$E$50,MATCH(C256,'Base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57" s="476" t="s">
        <v>178</v>
      </c>
      <c r="G257" s="465" t="s">
        <v>1050</v>
      </c>
      <c r="H257" s="465" t="s">
        <v>1051</v>
      </c>
      <c r="I257" s="465" t="s">
        <v>1052</v>
      </c>
      <c r="J257" s="476" t="s">
        <v>687</v>
      </c>
      <c r="K257" s="497" t="s">
        <v>258</v>
      </c>
      <c r="L257" s="476">
        <v>5000</v>
      </c>
      <c r="M257" s="450" t="str">
        <f t="shared" si="81"/>
        <v>Alta</v>
      </c>
      <c r="N257" s="451">
        <f t="shared" si="74"/>
        <v>0.8</v>
      </c>
      <c r="O257" s="452" t="s">
        <v>214</v>
      </c>
      <c r="P257" s="451" t="str">
        <f>IF(NOT(ISERROR(MATCH(O257,'Tabla Impacto'!$B$222:$B$224,0))),'Tabla Impacto'!$F$224&amp;"Por favor no seleccionar los criterios de impacto(Afectación Económica o presupuestal y Pérdida Reputacional)",O257)</f>
        <v xml:space="preserve">     El riesgo afecta la imagen de la entidad con algunos usuarios de relevancia frente al logro de los objetivos</v>
      </c>
      <c r="Q257" s="453" t="str">
        <f>IF(OR(P257='[1]Tabla Impacto'!$C$12,P257='[1]Tabla Impacto'!$D$12),"Leve",IF(OR(P257='[1]Tabla Impacto'!$C$13,P257='[1]Tabla Impacto'!$D$13),"Menor",IF(OR(P257='[1]Tabla Impacto'!$C$14,P257='[1]Tabla Impacto'!$D$14),"Moderado",IF(OR(P257='[1]Tabla Impacto'!$C$15,P257='[1]Tabla Impacto'!$D$15),"Mayor",IF(OR(P257='[1]Tabla Impacto'!$C$16,P257='[1]Tabla Impacto'!$D$16),"Catastrófico","")))))</f>
        <v>Moderado</v>
      </c>
      <c r="R257" s="452">
        <f t="shared" si="82"/>
        <v>0.6</v>
      </c>
      <c r="S257" s="454" t="str">
        <f t="shared" si="83"/>
        <v>Alto</v>
      </c>
      <c r="T257" s="457">
        <v>1</v>
      </c>
      <c r="U257" s="506" t="s">
        <v>1053</v>
      </c>
      <c r="V257" s="457" t="str">
        <f t="shared" si="80"/>
        <v>Probabilidad</v>
      </c>
      <c r="W257" s="458" t="s">
        <v>187</v>
      </c>
      <c r="X257" s="458" t="s">
        <v>341</v>
      </c>
      <c r="Y257" s="459" t="str">
        <f t="shared" si="75"/>
        <v>50%</v>
      </c>
      <c r="Z257" s="458" t="s">
        <v>222</v>
      </c>
      <c r="AA257" s="458" t="s">
        <v>190</v>
      </c>
      <c r="AB257" s="458" t="s">
        <v>191</v>
      </c>
      <c r="AC257" s="460">
        <f>IFERROR(IF(AND(V256="Probabilidad",V257="Probabilidad"),(AE256-(+AE256*Y257)),IF(AND(V256="Impacto",V257="Probabilidad"),(AE255-(+AE255*Y257)),IF(V257="Impacto",AE256,""))),"")</f>
        <v>4.3199999999999995E-2</v>
      </c>
      <c r="AD257" s="461" t="str">
        <f t="shared" si="76"/>
        <v>Muy Baja</v>
      </c>
      <c r="AE257" s="462">
        <f t="shared" si="77"/>
        <v>4.3199999999999995E-2</v>
      </c>
      <c r="AF257" s="461" t="str">
        <f t="shared" si="78"/>
        <v>Mayor</v>
      </c>
      <c r="AG257" s="462">
        <f>IFERROR(IF(AND(V256="Impacto",V257="Impacto"),(AG256-(+AG256*Y257)),IF(AND(V256="Probabilidad",V257="Impacto"),(AG255-(+AG255*Y257)),IF(V257="Probabilidad",AG256,""))),"")</f>
        <v>0.8</v>
      </c>
      <c r="AH257" s="463" t="str">
        <f t="shared" si="79"/>
        <v>Alto</v>
      </c>
      <c r="AI257" s="464" t="s">
        <v>192</v>
      </c>
      <c r="AJ257" s="465"/>
      <c r="AK257" s="465"/>
      <c r="AL257" s="466"/>
      <c r="AM257" s="519"/>
      <c r="AN257" s="468"/>
    </row>
    <row r="258" spans="1:40" ht="409.5" x14ac:dyDescent="0.2">
      <c r="A258" s="469">
        <v>122</v>
      </c>
      <c r="B258" s="469" t="s">
        <v>1054</v>
      </c>
      <c r="C258" s="470" t="s">
        <v>992</v>
      </c>
      <c r="D258" s="484" t="str">
        <f>IFERROR(INDEX('Base de datos gestión'!$D$28:$D$50,MATCH(C257,'Base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58" s="447" t="str">
        <f>IFERROR(INDEX('Base de datos gestión'!$E$28:$E$50,MATCH(C257,'Base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58" s="476" t="s">
        <v>234</v>
      </c>
      <c r="G258" s="465" t="s">
        <v>1055</v>
      </c>
      <c r="H258" s="465" t="s">
        <v>1056</v>
      </c>
      <c r="I258" s="465" t="s">
        <v>1057</v>
      </c>
      <c r="J258" s="481" t="s">
        <v>238</v>
      </c>
      <c r="K258" s="497" t="s">
        <v>768</v>
      </c>
      <c r="L258" s="476">
        <v>5000</v>
      </c>
      <c r="M258" s="450" t="str">
        <f t="shared" si="81"/>
        <v>Alta</v>
      </c>
      <c r="N258" s="451">
        <f t="shared" si="74"/>
        <v>0.8</v>
      </c>
      <c r="O258" s="452" t="s">
        <v>239</v>
      </c>
      <c r="P258" s="451" t="str">
        <f>IF(NOT(ISERROR(MATCH(O258,'Tabla Impacto'!$B$222:$B$224,0))),'Tabla Impacto'!$F$224&amp;"Por favor no seleccionar los criterios de impacto(Afectación Económica o presupuestal y Pérdida Reputacional)",O258)</f>
        <v xml:space="preserve">     El riesgo afecta la imagen de de la entidad con efecto publicitario sostenido a nivel de sector administrativo, nivel departamental o municipal</v>
      </c>
      <c r="Q258" s="453" t="str">
        <f>IF(OR(P258='[1]Tabla Impacto'!$C$12,P258='[1]Tabla Impacto'!$D$12),"Leve",IF(OR(P258='[1]Tabla Impacto'!$C$13,P258='[1]Tabla Impacto'!$D$13),"Menor",IF(OR(P258='[1]Tabla Impacto'!$C$14,P258='[1]Tabla Impacto'!$D$14),"Moderado",IF(OR(P258='[1]Tabla Impacto'!$C$15,P258='[1]Tabla Impacto'!$D$15),"Mayor",IF(OR(P258='[1]Tabla Impacto'!$C$16,P258='[1]Tabla Impacto'!$D$16),"Catastrófico","")))))</f>
        <v>Mayor</v>
      </c>
      <c r="R258" s="452">
        <f t="shared" si="82"/>
        <v>0.8</v>
      </c>
      <c r="S258" s="454" t="str">
        <f t="shared" si="83"/>
        <v>Alto</v>
      </c>
      <c r="T258" s="457">
        <v>1</v>
      </c>
      <c r="U258" s="506" t="s">
        <v>1058</v>
      </c>
      <c r="V258" s="457" t="str">
        <f t="shared" si="80"/>
        <v>Probabilidad</v>
      </c>
      <c r="W258" s="458" t="s">
        <v>187</v>
      </c>
      <c r="X258" s="458" t="s">
        <v>188</v>
      </c>
      <c r="Y258" s="459" t="str">
        <f t="shared" si="75"/>
        <v>40%</v>
      </c>
      <c r="Z258" s="458" t="s">
        <v>189</v>
      </c>
      <c r="AA258" s="458" t="s">
        <v>202</v>
      </c>
      <c r="AB258" s="458" t="s">
        <v>191</v>
      </c>
      <c r="AC258" s="460">
        <f>IFERROR(IF(AND(V257="Probabilidad",V258="Probabilidad"),(AE257-(+AE257*Y258)),IF(AND(V257="Impacto",V258="Probabilidad"),(AE256-(+AE256*Y258)),IF(V258="Impacto",AE257,""))),"")</f>
        <v>2.5919999999999995E-2</v>
      </c>
      <c r="AD258" s="461" t="str">
        <f t="shared" si="76"/>
        <v>Muy Baja</v>
      </c>
      <c r="AE258" s="462">
        <f t="shared" si="77"/>
        <v>2.5919999999999995E-2</v>
      </c>
      <c r="AF258" s="461" t="str">
        <f t="shared" si="78"/>
        <v>Mayor</v>
      </c>
      <c r="AG258" s="462">
        <f>IFERROR(IF(AND(V257="Impacto",V258="Impacto"),(AG257-(+AG257*Y258)),IF(AND(V257="Probabilidad",V258="Impacto"),(AG256-(+AG256*Y258)),IF(V258="Probabilidad",AG257,""))),"")</f>
        <v>0.8</v>
      </c>
      <c r="AH258" s="463" t="str">
        <f t="shared" si="79"/>
        <v>Alto</v>
      </c>
      <c r="AI258" s="464" t="s">
        <v>192</v>
      </c>
      <c r="AJ258" s="465"/>
      <c r="AK258" s="465"/>
      <c r="AL258" s="466"/>
      <c r="AM258" s="519"/>
      <c r="AN258" s="468"/>
    </row>
    <row r="259" spans="1:40" ht="409.5" x14ac:dyDescent="0.2">
      <c r="A259" s="478">
        <v>122</v>
      </c>
      <c r="B259" s="478" t="s">
        <v>1054</v>
      </c>
      <c r="C259" s="479" t="s">
        <v>992</v>
      </c>
      <c r="D259" s="484" t="str">
        <f>IFERROR(INDEX('Base de datos gestión'!$D$28:$D$50,MATCH(C258,'Base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59" s="447" t="str">
        <f>IFERROR(INDEX('Base de datos gestión'!$E$28:$E$50,MATCH(C258,'Base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59" s="476" t="s">
        <v>234</v>
      </c>
      <c r="G259" s="465" t="s">
        <v>1055</v>
      </c>
      <c r="H259" s="465" t="s">
        <v>1056</v>
      </c>
      <c r="I259" s="465" t="s">
        <v>1057</v>
      </c>
      <c r="J259" s="481" t="s">
        <v>238</v>
      </c>
      <c r="K259" s="497" t="s">
        <v>768</v>
      </c>
      <c r="L259" s="476">
        <v>5000</v>
      </c>
      <c r="M259" s="450" t="str">
        <f t="shared" si="81"/>
        <v>Alta</v>
      </c>
      <c r="N259" s="451">
        <f t="shared" si="74"/>
        <v>0.8</v>
      </c>
      <c r="O259" s="452" t="s">
        <v>239</v>
      </c>
      <c r="P259" s="451" t="str">
        <f>IF(NOT(ISERROR(MATCH(O259,'Tabla Impacto'!$B$222:$B$224,0))),'Tabla Impacto'!$F$224&amp;"Por favor no seleccionar los criterios de impacto(Afectación Económica o presupuestal y Pérdida Reputacional)",O259)</f>
        <v xml:space="preserve">     El riesgo afecta la imagen de de la entidad con efecto publicitario sostenido a nivel de sector administrativo, nivel departamental o municipal</v>
      </c>
      <c r="Q259" s="453" t="str">
        <f>IF(OR(P259='[1]Tabla Impacto'!$C$12,P259='[1]Tabla Impacto'!$D$12),"Leve",IF(OR(P259='[1]Tabla Impacto'!$C$13,P259='[1]Tabla Impacto'!$D$13),"Menor",IF(OR(P259='[1]Tabla Impacto'!$C$14,P259='[1]Tabla Impacto'!$D$14),"Moderado",IF(OR(P259='[1]Tabla Impacto'!$C$15,P259='[1]Tabla Impacto'!$D$15),"Mayor",IF(OR(P259='[1]Tabla Impacto'!$C$16,P259='[1]Tabla Impacto'!$D$16),"Catastrófico","")))))</f>
        <v>Mayor</v>
      </c>
      <c r="R259" s="452">
        <f t="shared" si="82"/>
        <v>0.8</v>
      </c>
      <c r="S259" s="454" t="str">
        <f t="shared" si="83"/>
        <v>Alto</v>
      </c>
      <c r="T259" s="457">
        <v>2</v>
      </c>
      <c r="U259" s="506" t="s">
        <v>1059</v>
      </c>
      <c r="V259" s="457" t="str">
        <f t="shared" si="80"/>
        <v>Probabilidad</v>
      </c>
      <c r="W259" s="458" t="s">
        <v>187</v>
      </c>
      <c r="X259" s="458" t="s">
        <v>188</v>
      </c>
      <c r="Y259" s="459" t="str">
        <f t="shared" si="75"/>
        <v>40%</v>
      </c>
      <c r="Z259" s="458" t="s">
        <v>189</v>
      </c>
      <c r="AA259" s="458" t="s">
        <v>202</v>
      </c>
      <c r="AB259" s="458" t="s">
        <v>191</v>
      </c>
      <c r="AC259" s="460">
        <f>IFERROR(IF(AND(V258="Probabilidad",V259="Probabilidad"),(AE258-(+AE258*Y259)),IF(AND(V258="Impacto",V259="Probabilidad"),(AE257-(+AE257*Y259)),IF(V259="Impacto",AE258,""))),"")</f>
        <v>1.5551999999999996E-2</v>
      </c>
      <c r="AD259" s="461" t="str">
        <f t="shared" si="76"/>
        <v>Muy Baja</v>
      </c>
      <c r="AE259" s="462">
        <f t="shared" si="77"/>
        <v>1.5551999999999996E-2</v>
      </c>
      <c r="AF259" s="461" t="str">
        <f t="shared" si="78"/>
        <v>Mayor</v>
      </c>
      <c r="AG259" s="462">
        <f>IFERROR(IF(AND(V258="Impacto",V259="Impacto"),(AG258-(+AG258*Y259)),IF(AND(V258="Probabilidad",V259="Impacto"),(AG257-(+AG257*Y259)),IF(V259="Probabilidad",AG258,""))),"")</f>
        <v>0.8</v>
      </c>
      <c r="AH259" s="463" t="str">
        <f t="shared" si="79"/>
        <v>Alto</v>
      </c>
      <c r="AI259" s="464" t="s">
        <v>192</v>
      </c>
      <c r="AJ259" s="465"/>
      <c r="AK259" s="465"/>
      <c r="AL259" s="466"/>
      <c r="AM259" s="519"/>
      <c r="AN259" s="468"/>
    </row>
    <row r="260" spans="1:40" ht="409.5" x14ac:dyDescent="0.2">
      <c r="A260" s="446">
        <v>123</v>
      </c>
      <c r="B260" s="446" t="s">
        <v>1060</v>
      </c>
      <c r="C260" s="447" t="s">
        <v>992</v>
      </c>
      <c r="D260" s="484" t="str">
        <f>IFERROR(INDEX('Base de datos gestión'!$D$28:$D$50,MATCH(C259,'Base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60" s="447" t="str">
        <f>IFERROR(INDEX('Base de datos gestión'!$E$28:$E$50,MATCH(C259,'Base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60" s="476" t="s">
        <v>234</v>
      </c>
      <c r="G260" s="465" t="s">
        <v>1061</v>
      </c>
      <c r="H260" s="465" t="s">
        <v>1062</v>
      </c>
      <c r="I260" s="465" t="s">
        <v>1063</v>
      </c>
      <c r="J260" s="481" t="s">
        <v>687</v>
      </c>
      <c r="K260" s="497" t="s">
        <v>688</v>
      </c>
      <c r="L260" s="476">
        <v>5000</v>
      </c>
      <c r="M260" s="450" t="str">
        <f t="shared" si="81"/>
        <v>Alta</v>
      </c>
      <c r="N260" s="451">
        <f t="shared" si="74"/>
        <v>0.8</v>
      </c>
      <c r="O260" s="452" t="s">
        <v>214</v>
      </c>
      <c r="P260" s="451" t="str">
        <f>IF(NOT(ISERROR(MATCH(O260,'Tabla Impacto'!$B$222:$B$224,0))),'Tabla Impacto'!$F$224&amp;"Por favor no seleccionar los criterios de impacto(Afectación Económica o presupuestal y Pérdida Reputacional)",O260)</f>
        <v xml:space="preserve">     El riesgo afecta la imagen de la entidad con algunos usuarios de relevancia frente al logro de los objetivos</v>
      </c>
      <c r="Q260" s="453" t="str">
        <f>IF(OR(P260='[1]Tabla Impacto'!$C$12,P260='[1]Tabla Impacto'!$D$12),"Leve",IF(OR(P260='[1]Tabla Impacto'!$C$13,P260='[1]Tabla Impacto'!$D$13),"Menor",IF(OR(P260='[1]Tabla Impacto'!$C$14,P260='[1]Tabla Impacto'!$D$14),"Moderado",IF(OR(P260='[1]Tabla Impacto'!$C$15,P260='[1]Tabla Impacto'!$D$15),"Mayor",IF(OR(P260='[1]Tabla Impacto'!$C$16,P260='[1]Tabla Impacto'!$D$16),"Catastrófico","")))))</f>
        <v>Moderado</v>
      </c>
      <c r="R260" s="452">
        <f t="shared" si="82"/>
        <v>0.6</v>
      </c>
      <c r="S260" s="454" t="str">
        <f t="shared" si="83"/>
        <v>Alto</v>
      </c>
      <c r="T260" s="457">
        <v>1</v>
      </c>
      <c r="U260" s="506" t="s">
        <v>1064</v>
      </c>
      <c r="V260" s="457" t="str">
        <f t="shared" si="80"/>
        <v>Probabilidad</v>
      </c>
      <c r="W260" s="458" t="s">
        <v>228</v>
      </c>
      <c r="X260" s="458" t="s">
        <v>188</v>
      </c>
      <c r="Y260" s="459" t="str">
        <f t="shared" si="75"/>
        <v>30%</v>
      </c>
      <c r="Z260" s="458" t="s">
        <v>222</v>
      </c>
      <c r="AA260" s="458" t="s">
        <v>202</v>
      </c>
      <c r="AB260" s="458" t="s">
        <v>191</v>
      </c>
      <c r="AC260" s="460">
        <f>IFERROR(IF(V260="Probabilidad",(N260-(+N260*Y260)),IF(V260="Impacto",N260,"")),"")</f>
        <v>0.56000000000000005</v>
      </c>
      <c r="AD260" s="461" t="str">
        <f t="shared" si="76"/>
        <v>Media</v>
      </c>
      <c r="AE260" s="462">
        <f t="shared" si="77"/>
        <v>0.56000000000000005</v>
      </c>
      <c r="AF260" s="461" t="str">
        <f t="shared" si="78"/>
        <v>Moderado</v>
      </c>
      <c r="AG260" s="462">
        <f>IFERROR(IF(V260="Impacto",(R260-(+R260*Y260)),IF(V260="Probabilidad",R260,"")),"")</f>
        <v>0.6</v>
      </c>
      <c r="AH260" s="463" t="str">
        <f t="shared" si="79"/>
        <v>Moderado</v>
      </c>
      <c r="AI260" s="464" t="s">
        <v>192</v>
      </c>
      <c r="AJ260" s="465"/>
      <c r="AK260" s="465"/>
      <c r="AL260" s="466"/>
      <c r="AM260" s="519"/>
      <c r="AN260" s="468"/>
    </row>
    <row r="261" spans="1:40" ht="409.5" x14ac:dyDescent="0.2">
      <c r="A261" s="469">
        <v>124</v>
      </c>
      <c r="B261" s="469" t="s">
        <v>1065</v>
      </c>
      <c r="C261" s="470" t="s">
        <v>992</v>
      </c>
      <c r="D261" s="484" t="str">
        <f>IFERROR(INDEX('Base de datos gestión'!$D$28:$D$50,MATCH(C260,'Base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61" s="447" t="str">
        <f>IFERROR(INDEX('Base de datos gestión'!$E$28:$E$50,MATCH(C260,'Base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61" s="476" t="s">
        <v>234</v>
      </c>
      <c r="G261" s="465" t="s">
        <v>1066</v>
      </c>
      <c r="H261" s="465" t="s">
        <v>1067</v>
      </c>
      <c r="I261" s="465" t="s">
        <v>1068</v>
      </c>
      <c r="J261" s="481" t="s">
        <v>182</v>
      </c>
      <c r="K261" s="497" t="s">
        <v>320</v>
      </c>
      <c r="L261" s="476">
        <v>100</v>
      </c>
      <c r="M261" s="450" t="str">
        <f t="shared" si="81"/>
        <v>Media</v>
      </c>
      <c r="N261" s="451">
        <f t="shared" si="74"/>
        <v>0.6</v>
      </c>
      <c r="O261" s="452" t="s">
        <v>239</v>
      </c>
      <c r="P261" s="451" t="str">
        <f>IF(NOT(ISERROR(MATCH(O261,'Tabla Impacto'!$B$222:$B$224,0))),'Tabla Impacto'!$F$224&amp;"Por favor no seleccionar los criterios de impacto(Afectación Económica o presupuestal y Pérdida Reputacional)",O261)</f>
        <v xml:space="preserve">     El riesgo afecta la imagen de de la entidad con efecto publicitario sostenido a nivel de sector administrativo, nivel departamental o municipal</v>
      </c>
      <c r="Q261" s="453" t="str">
        <f>IF(OR(P261='[1]Tabla Impacto'!$C$12,P261='[1]Tabla Impacto'!$D$12),"Leve",IF(OR(P261='[1]Tabla Impacto'!$C$13,P261='[1]Tabla Impacto'!$D$13),"Menor",IF(OR(P261='[1]Tabla Impacto'!$C$14,P261='[1]Tabla Impacto'!$D$14),"Moderado",IF(OR(P261='[1]Tabla Impacto'!$C$15,P261='[1]Tabla Impacto'!$D$15),"Mayor",IF(OR(P261='[1]Tabla Impacto'!$C$16,P261='[1]Tabla Impacto'!$D$16),"Catastrófico","")))))</f>
        <v>Mayor</v>
      </c>
      <c r="R261" s="452">
        <f t="shared" si="82"/>
        <v>0.8</v>
      </c>
      <c r="S261" s="454" t="str">
        <f t="shared" si="83"/>
        <v>Alto</v>
      </c>
      <c r="T261" s="457">
        <v>1</v>
      </c>
      <c r="U261" s="506" t="s">
        <v>1069</v>
      </c>
      <c r="V261" s="457" t="str">
        <f t="shared" si="80"/>
        <v>Probabilidad</v>
      </c>
      <c r="W261" s="458" t="s">
        <v>187</v>
      </c>
      <c r="X261" s="458" t="s">
        <v>188</v>
      </c>
      <c r="Y261" s="459" t="str">
        <f t="shared" si="75"/>
        <v>40%</v>
      </c>
      <c r="Z261" s="458" t="s">
        <v>222</v>
      </c>
      <c r="AA261" s="458" t="s">
        <v>190</v>
      </c>
      <c r="AB261" s="458" t="s">
        <v>191</v>
      </c>
      <c r="AC261" s="460">
        <f>IFERROR(IF(AND(V260="Probabilidad",V261="Probabilidad"),(AE260-(+AE260*Y261)),IF(V261="Probabilidad",(N260-(+N260*Y261)),IF(V261="Impacto",AE260,""))),"")</f>
        <v>0.33600000000000002</v>
      </c>
      <c r="AD261" s="461" t="str">
        <f t="shared" si="76"/>
        <v>Baja</v>
      </c>
      <c r="AE261" s="462">
        <f t="shared" si="77"/>
        <v>0.33600000000000002</v>
      </c>
      <c r="AF261" s="461" t="str">
        <f t="shared" si="78"/>
        <v>Catastrófico</v>
      </c>
      <c r="AG261" s="462">
        <f>IFERROR(IF(AND(V260="Impacto",V261="Impacto"),(AG254-(+AG254*Y261)),IF(V261="Impacto",($R$56-(+$R$56*Y261)),IF(V261="Probabilidad",AG254,""))),"")</f>
        <v>1</v>
      </c>
      <c r="AH261" s="463" t="str">
        <f t="shared" si="79"/>
        <v>Extremo</v>
      </c>
      <c r="AI261" s="464" t="s">
        <v>192</v>
      </c>
      <c r="AJ261" s="465"/>
      <c r="AK261" s="465"/>
      <c r="AL261" s="466"/>
      <c r="AM261" s="519"/>
      <c r="AN261" s="468"/>
    </row>
    <row r="262" spans="1:40" ht="14.25" x14ac:dyDescent="0.2">
      <c r="Q262" s="210" t="s">
        <v>8</v>
      </c>
    </row>
    <row r="263" spans="1:40" ht="14.25" x14ac:dyDescent="0.2">
      <c r="Q263" s="210" t="s">
        <v>8</v>
      </c>
    </row>
    <row r="264" spans="1:40" ht="14.25" x14ac:dyDescent="0.2">
      <c r="Q264" s="210" t="s">
        <v>8</v>
      </c>
    </row>
    <row r="265" spans="1:40" ht="14.25" x14ac:dyDescent="0.2">
      <c r="Q265" s="210" t="s">
        <v>8</v>
      </c>
    </row>
    <row r="266" spans="1:40" ht="14.25" x14ac:dyDescent="0.2">
      <c r="Q266" s="210" t="s">
        <v>8</v>
      </c>
    </row>
    <row r="267" spans="1:40" ht="14.25" x14ac:dyDescent="0.2">
      <c r="Q267" s="210" t="s">
        <v>8</v>
      </c>
    </row>
    <row r="268" spans="1:40" ht="14.25" x14ac:dyDescent="0.2">
      <c r="Q268" s="210" t="s">
        <v>8</v>
      </c>
    </row>
    <row r="269" spans="1:40" ht="14.25" x14ac:dyDescent="0.2">
      <c r="Q269" s="210" t="s">
        <v>8</v>
      </c>
    </row>
    <row r="270" spans="1:40" ht="14.25" x14ac:dyDescent="0.2">
      <c r="Q270" s="210" t="s">
        <v>428</v>
      </c>
    </row>
    <row r="271" spans="1:40" ht="14.25" x14ac:dyDescent="0.2">
      <c r="Q271" s="210" t="s">
        <v>428</v>
      </c>
    </row>
    <row r="272" spans="1:40" ht="14.25" x14ac:dyDescent="0.2">
      <c r="Q272" s="210" t="s">
        <v>342</v>
      </c>
    </row>
    <row r="273" spans="17:17" ht="14.25" x14ac:dyDescent="0.2">
      <c r="Q273" s="210" t="s">
        <v>342</v>
      </c>
    </row>
    <row r="274" spans="17:17" ht="14.25" x14ac:dyDescent="0.2">
      <c r="Q274" s="210" t="s">
        <v>8</v>
      </c>
    </row>
    <row r="275" spans="17:17" ht="14.25" x14ac:dyDescent="0.2">
      <c r="Q275" s="210" t="s">
        <v>8</v>
      </c>
    </row>
    <row r="276" spans="17:17" ht="14.25" x14ac:dyDescent="0.2">
      <c r="Q276" s="210" t="s">
        <v>8</v>
      </c>
    </row>
    <row r="277" spans="17:17" ht="14.25" x14ac:dyDescent="0.2">
      <c r="Q277" s="210" t="s">
        <v>8</v>
      </c>
    </row>
    <row r="278" spans="17:17" ht="14.25" x14ac:dyDescent="0.2">
      <c r="Q278" s="210" t="s">
        <v>8</v>
      </c>
    </row>
    <row r="279" spans="17:17" ht="14.25" x14ac:dyDescent="0.2">
      <c r="Q279" s="210" t="s">
        <v>8</v>
      </c>
    </row>
    <row r="280" spans="17:17" ht="14.25" x14ac:dyDescent="0.2">
      <c r="Q280" s="210" t="s">
        <v>8</v>
      </c>
    </row>
    <row r="281" spans="17:17" ht="14.25" x14ac:dyDescent="0.2">
      <c r="Q281" s="210" t="s">
        <v>8</v>
      </c>
    </row>
    <row r="282" spans="17:17" ht="14.25" x14ac:dyDescent="0.2">
      <c r="Q282" s="210" t="s">
        <v>428</v>
      </c>
    </row>
    <row r="283" spans="17:17" ht="14.25" x14ac:dyDescent="0.2">
      <c r="Q283" s="210" t="s">
        <v>428</v>
      </c>
    </row>
    <row r="284" spans="17:17" ht="14.25" x14ac:dyDescent="0.2">
      <c r="Q284" s="210" t="s">
        <v>8</v>
      </c>
    </row>
    <row r="285" spans="17:17" ht="14.25" x14ac:dyDescent="0.2">
      <c r="Q285" s="210" t="s">
        <v>8</v>
      </c>
    </row>
    <row r="286" spans="17:17" ht="14.25" x14ac:dyDescent="0.2">
      <c r="Q286" s="210" t="s">
        <v>8</v>
      </c>
    </row>
    <row r="287" spans="17:17" ht="14.25" x14ac:dyDescent="0.2">
      <c r="Q287" s="210" t="s">
        <v>8</v>
      </c>
    </row>
    <row r="288" spans="17:17" ht="14.25" x14ac:dyDescent="0.2">
      <c r="Q288" s="210" t="s">
        <v>342</v>
      </c>
    </row>
    <row r="289" spans="17:17" ht="14.25" x14ac:dyDescent="0.2">
      <c r="Q289" s="210" t="s">
        <v>342</v>
      </c>
    </row>
    <row r="290" spans="17:17" ht="14.25" x14ac:dyDescent="0.2">
      <c r="Q290" s="210" t="s">
        <v>342</v>
      </c>
    </row>
    <row r="291" spans="17:17" ht="14.25" x14ac:dyDescent="0.2">
      <c r="Q291" s="210" t="s">
        <v>342</v>
      </c>
    </row>
    <row r="292" spans="17:17" ht="14.25" x14ac:dyDescent="0.2">
      <c r="Q292" s="210" t="s">
        <v>342</v>
      </c>
    </row>
    <row r="293" spans="17:17" ht="14.25" x14ac:dyDescent="0.2">
      <c r="Q293" s="210" t="s">
        <v>342</v>
      </c>
    </row>
    <row r="294" spans="17:17" ht="14.25" x14ac:dyDescent="0.2">
      <c r="Q294" s="210" t="s">
        <v>8</v>
      </c>
    </row>
    <row r="295" spans="17:17" ht="15" customHeight="1" x14ac:dyDescent="0.2">
      <c r="Q295" s="210" t="s">
        <v>8</v>
      </c>
    </row>
    <row r="296" spans="17:17" ht="15" customHeight="1" x14ac:dyDescent="0.2">
      <c r="Q296" s="210" t="s">
        <v>8</v>
      </c>
    </row>
    <row r="297" spans="17:17" ht="15" customHeight="1" x14ac:dyDescent="0.2">
      <c r="Q297" s="210" t="s">
        <v>8</v>
      </c>
    </row>
    <row r="298" spans="17:17" ht="15" customHeight="1" x14ac:dyDescent="0.2">
      <c r="Q298" s="210" t="s">
        <v>8</v>
      </c>
    </row>
    <row r="299" spans="17:17" ht="15" customHeight="1" x14ac:dyDescent="0.2">
      <c r="Q299" s="210" t="s">
        <v>8</v>
      </c>
    </row>
    <row r="300" spans="17:17" ht="15" customHeight="1" x14ac:dyDescent="0.2">
      <c r="Q300" s="210" t="s">
        <v>8</v>
      </c>
    </row>
    <row r="301" spans="17:17" ht="15" customHeight="1" x14ac:dyDescent="0.2">
      <c r="Q301" s="210" t="s">
        <v>8</v>
      </c>
    </row>
    <row r="302" spans="17:17" ht="15" customHeight="1" x14ac:dyDescent="0.2">
      <c r="Q302" s="210" t="s">
        <v>428</v>
      </c>
    </row>
    <row r="303" spans="17:17" ht="15" customHeight="1" x14ac:dyDescent="0.2">
      <c r="Q303" s="210" t="s">
        <v>428</v>
      </c>
    </row>
    <row r="304" spans="17:17" ht="15" customHeight="1" x14ac:dyDescent="0.2">
      <c r="Q304" s="210" t="s">
        <v>8</v>
      </c>
    </row>
    <row r="305" spans="17:17" ht="15" customHeight="1" x14ac:dyDescent="0.2">
      <c r="Q305" s="210" t="s">
        <v>8</v>
      </c>
    </row>
    <row r="306" spans="17:17" ht="15" customHeight="1" x14ac:dyDescent="0.2">
      <c r="Q306" s="210" t="s">
        <v>8</v>
      </c>
    </row>
  </sheetData>
  <sheetProtection formatColumns="0" insertHyperlinks="0" autoFilter="0"/>
  <autoFilter ref="A3:AN293" xr:uid="{00000000-0001-0000-0100-000000000000}"/>
  <mergeCells count="19">
    <mergeCell ref="AN197:AN198"/>
    <mergeCell ref="AN203:AN204"/>
    <mergeCell ref="AJ9:AJ14"/>
    <mergeCell ref="AK9:AK14"/>
    <mergeCell ref="AL9:AL14"/>
    <mergeCell ref="AM9:AM14"/>
    <mergeCell ref="AN9:AN14"/>
    <mergeCell ref="AJ18:AJ21"/>
    <mergeCell ref="AK18:AK21"/>
    <mergeCell ref="AL18:AL21"/>
    <mergeCell ref="AM18:AM21"/>
    <mergeCell ref="AN18:AN21"/>
    <mergeCell ref="AJ1:AN1"/>
    <mergeCell ref="A1:L1"/>
    <mergeCell ref="W2:AB2"/>
    <mergeCell ref="AC2:AC3"/>
    <mergeCell ref="M1:S1"/>
    <mergeCell ref="T1:AB1"/>
    <mergeCell ref="AC1:AI1"/>
  </mergeCells>
  <phoneticPr fontId="112" type="noConversion"/>
  <conditionalFormatting sqref="M4:M261 AD4:AD261">
    <cfRule type="cellIs" dxfId="175" priority="2570" operator="equal">
      <formula>"Muy Alta"</formula>
    </cfRule>
    <cfRule type="cellIs" dxfId="174" priority="2571" operator="equal">
      <formula>"Alta"</formula>
    </cfRule>
    <cfRule type="cellIs" dxfId="173" priority="2572" operator="equal">
      <formula>"Media"</formula>
    </cfRule>
    <cfRule type="cellIs" dxfId="172" priority="2573" operator="equal">
      <formula>"Baja"</formula>
    </cfRule>
    <cfRule type="cellIs" dxfId="171" priority="2574" operator="equal">
      <formula>"Muy Baja"</formula>
    </cfRule>
  </conditionalFormatting>
  <conditionalFormatting sqref="P4:P261">
    <cfRule type="containsText" dxfId="170" priority="458" operator="containsText" text="❌">
      <formula>NOT(ISERROR(SEARCH(("❌"),(P4))))</formula>
    </cfRule>
  </conditionalFormatting>
  <conditionalFormatting sqref="Q4:Q261">
    <cfRule type="cellIs" dxfId="169" priority="375" operator="equal">
      <formula>"Catastrófico"</formula>
    </cfRule>
    <cfRule type="cellIs" dxfId="168" priority="376" operator="equal">
      <formula>"Mayor"</formula>
    </cfRule>
    <cfRule type="cellIs" dxfId="167" priority="377" operator="equal">
      <formula>"Moderado"</formula>
    </cfRule>
    <cfRule type="cellIs" dxfId="166" priority="378" operator="equal">
      <formula>"Menor"</formula>
    </cfRule>
    <cfRule type="cellIs" dxfId="165" priority="379" operator="equal">
      <formula>"Leve"</formula>
    </cfRule>
  </conditionalFormatting>
  <conditionalFormatting sqref="S4:S261">
    <cfRule type="cellIs" dxfId="164" priority="380" operator="equal">
      <formula>"Extremo"</formula>
    </cfRule>
    <cfRule type="cellIs" dxfId="163" priority="381" operator="equal">
      <formula>"Alto"</formula>
    </cfRule>
    <cfRule type="cellIs" dxfId="162" priority="382" operator="equal">
      <formula>"Moderado"</formula>
    </cfRule>
    <cfRule type="cellIs" dxfId="161" priority="383" operator="equal">
      <formula>"Bajo"</formula>
    </cfRule>
  </conditionalFormatting>
  <conditionalFormatting sqref="T16:T21">
    <cfRule type="cellIs" dxfId="160" priority="384" operator="equal">
      <formula>"Muy Alta"</formula>
    </cfRule>
    <cfRule type="cellIs" dxfId="159" priority="385" operator="equal">
      <formula>"Alta"</formula>
    </cfRule>
    <cfRule type="cellIs" dxfId="158" priority="386" operator="equal">
      <formula>"Media"</formula>
    </cfRule>
    <cfRule type="cellIs" dxfId="157" priority="387" operator="equal">
      <formula>"Baja"</formula>
    </cfRule>
    <cfRule type="cellIs" dxfId="156" priority="388" operator="equal">
      <formula>"Muy Baja"</formula>
    </cfRule>
  </conditionalFormatting>
  <conditionalFormatting sqref="AF4:AF261">
    <cfRule type="cellIs" dxfId="155" priority="1083" operator="equal">
      <formula>"Catastrófico"</formula>
    </cfRule>
    <cfRule type="cellIs" dxfId="154" priority="1084" operator="equal">
      <formula>"Mayor"</formula>
    </cfRule>
    <cfRule type="cellIs" dxfId="153" priority="1085" operator="equal">
      <formula>"Moderado"</formula>
    </cfRule>
    <cfRule type="cellIs" dxfId="152" priority="1086" operator="equal">
      <formula>"Menor"</formula>
    </cfRule>
    <cfRule type="cellIs" dxfId="151" priority="1087" operator="equal">
      <formula>"Leve"</formula>
    </cfRule>
  </conditionalFormatting>
  <conditionalFormatting sqref="AH4:AH261">
    <cfRule type="cellIs" dxfId="150" priority="1093" operator="equal">
      <formula>"Extremo"</formula>
    </cfRule>
    <cfRule type="cellIs" dxfId="149" priority="1094" operator="equal">
      <formula>"Alto"</formula>
    </cfRule>
    <cfRule type="cellIs" dxfId="148" priority="1095" operator="equal">
      <formula>"Moderado"</formula>
    </cfRule>
    <cfRule type="cellIs" dxfId="147" priority="1096" operator="equal">
      <formula>"Bajo"</formula>
    </cfRule>
  </conditionalFormatting>
  <dataValidations count="4">
    <dataValidation type="custom" allowBlank="1" showInputMessage="1" showErrorMessage="1" prompt="Recuerde que las acciones se generan bajo la medida de mitigar el riesgo" sqref="AM49:AM55 AM136:AM137 AM139:AM158 AM62:AM64 AM75:AM77 AM80:AM81" xr:uid="{891480EF-1CBE-4C48-AD96-1538FA09FB48}">
      <formula1>IF(OR(AI49=#REF!,AI49=#REF!,AI49=#REF!),ISBLANK(AI49),ISTEXT(AI49))</formula1>
    </dataValidation>
    <dataValidation type="custom" allowBlank="1" showInputMessage="1" showErrorMessage="1" prompt="Recuerde que las acciones se generan bajo la medida de mitigar el riesgo" sqref="AK62:AK64 AK75:AK77 AK80:AK81" xr:uid="{E922326D-8592-41CA-B6C3-C297DC3613B8}">
      <formula1>IF(OR(AI62=#REF!,AI62=#REF!,AI62=#REF!),ISBLANK(AI62),ISTEXT(AI62))</formula1>
    </dataValidation>
    <dataValidation type="custom" allowBlank="1" showInputMessage="1" showErrorMessage="1" prompt="Recuerde que las acciones se generan bajo la medida de mitigar el riesgo" sqref="AL139:AL158 AL136:AL137 AL62:AL64 AL75:AL77 AL80:AL81" xr:uid="{3443CE4D-F202-4EA8-852A-8C8C87E51467}">
      <formula1>IF(OR(AI62=#REF!,AI62=#REF!,AI62=#REF!),ISBLANK(AI62),ISTEXT(AI62))</formula1>
    </dataValidation>
    <dataValidation type="custom" allowBlank="1" showInputMessage="1" showErrorMessage="1" prompt="Recuerde que las acciones se generan bajo la medida de mitigar el riesgo" sqref="AJ62:AJ64 AJ75:AJ77 AJ80:AJ81" xr:uid="{77C9B347-508B-4F29-8435-FA8DBA76C13D}">
      <formula1>IF(OR(AI62=#REF!,AI62=#REF!,AI62=#REF!),ISBLANK(AI62),ISTEXT(AI62))</formula1>
    </dataValidation>
  </dataValidations>
  <pageMargins left="0.70866141732283472" right="0.70866141732283472" top="0.74803149606299213" bottom="0.74803149606299213" header="0" footer="0"/>
  <pageSetup paperSize="5" scale="54" fitToHeight="0" orientation="landscape" r:id="rId1"/>
  <headerFooter>
    <oddHeader>&amp;L&amp;G&amp;C
MATRIZ DE RIESGOS</oddHeader>
    <oddFooter>&amp;RCódigo:E-02-F-014
Versión: 5
Fecha: Ver Isolución</oddFooter>
  </headerFooter>
  <rowBreaks count="1" manualBreakCount="1">
    <brk id="14" max="16383" man="1"/>
  </rowBreaks>
  <colBreaks count="2" manualBreakCount="2">
    <brk id="19" max="1048575" man="1"/>
    <brk id="35" max="1048575" man="1"/>
  </colBreaks>
  <ignoredErrors>
    <ignoredError sqref="P4" unlockedFormula="1"/>
  </ignoredErrors>
  <legacyDrawing r:id="rId2"/>
  <legacyDrawingHF r:id="rId3"/>
  <extLst>
    <ext xmlns:x14="http://schemas.microsoft.com/office/spreadsheetml/2009/9/main" uri="{CCE6A557-97BC-4b89-ADB6-D9C93CAAB3DF}">
      <x14:dataValidations xmlns:xm="http://schemas.microsoft.com/office/excel/2006/main" count="4">
        <x14:dataValidation type="custom" allowBlank="1" showInputMessage="1" showErrorMessage="1" prompt="Recuerde que las acciones se generan bajo la medida de mitigar el riesgo" xr:uid="{BF99B0AE-0F05-4820-A740-02AD0D3AA677}">
          <x14:formula1>
            <xm:f>IF(OR(AJ4='Base de datos gestión'!$B$2,AJ4='Base de datos gestión'!$B$3,AJ4='Base de datos gestión'!$B$4),ISBLANK(AJ4),ISTEXT(AJ4))</xm:f>
          </x14:formula1>
          <xm:sqref>AN199:AN203 AN4:AN9 AN15:AN18 AN205:AN261 AN22:AN64 AN75:AN77 AN80:AN81 AN85:AN196</xm:sqref>
        </x14:dataValidation>
        <x14:dataValidation type="list" allowBlank="1" showErrorMessage="1" xr:uid="{0160EA76-BC5E-4E5C-8AE5-F763994D08F8}">
          <x14:formula1>
            <xm:f>'Tabla Impacto'!$F$211:$F$222</xm:f>
          </x14:formula1>
          <xm:sqref>O4:O261</xm:sqref>
        </x14:dataValidation>
        <x14:dataValidation type="list" allowBlank="1" showInputMessage="1" showErrorMessage="1" xr:uid="{01FBFC0E-1CF3-43BA-AAFF-57C6D2F33BB0}">
          <x14:formula1>
            <xm:f>'Base de datos gestión'!$C$28:$C$49</xm:f>
          </x14:formula1>
          <xm:sqref>C4:C261</xm:sqref>
        </x14:dataValidation>
        <x14:dataValidation type="list" allowBlank="1" showErrorMessage="1" xr:uid="{C87FF5DD-A64F-4FE9-A1BE-F48C45C1AFEB}">
          <x14:formula1>
            <xm:f>'Base de datos gestión'!$B$13:$B$19</xm:f>
          </x14:formula1>
          <xm:sqref>J262:J1048576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825D5-2B8A-449A-B44B-48B3135BC230}">
  <sheetPr>
    <tabColor theme="2" tint="-0.34998626667073579"/>
  </sheetPr>
  <dimension ref="B4:BJ1004"/>
  <sheetViews>
    <sheetView zoomScale="160" zoomScaleNormal="160" workbookViewId="0">
      <selection activeCell="F14" sqref="F14"/>
    </sheetView>
  </sheetViews>
  <sheetFormatPr baseColWidth="10" defaultColWidth="12.625" defaultRowHeight="15" customHeight="1" x14ac:dyDescent="0.2"/>
  <cols>
    <col min="1" max="1" width="3.125" customWidth="1"/>
    <col min="2" max="2" width="9" customWidth="1"/>
    <col min="3" max="4" width="29.75" customWidth="1"/>
    <col min="5" max="19" width="5" customWidth="1"/>
    <col min="20" max="20" width="7.375" customWidth="1"/>
    <col min="21" max="24" width="5" customWidth="1"/>
    <col min="25" max="25" width="7.5" customWidth="1"/>
    <col min="26" max="27" width="5" customWidth="1"/>
    <col min="28" max="28" width="9.375" customWidth="1"/>
    <col min="29" max="29" width="5" customWidth="1"/>
    <col min="30" max="30" width="6.5" customWidth="1"/>
    <col min="31" max="34" width="5" customWidth="1"/>
    <col min="35" max="35" width="7.5" customWidth="1"/>
    <col min="36" max="40" width="5" customWidth="1"/>
    <col min="41" max="41" width="9.375" customWidth="1"/>
    <col min="42" max="47" width="5" customWidth="1"/>
    <col min="48" max="62" width="9.375" customWidth="1"/>
  </cols>
  <sheetData>
    <row r="4" spans="2:62" ht="10.5" customHeight="1" x14ac:dyDescent="0.25">
      <c r="BC4" s="115"/>
      <c r="BD4" s="115"/>
      <c r="BE4" s="115"/>
      <c r="BF4" s="115"/>
      <c r="BG4" s="115"/>
      <c r="BH4" s="115"/>
      <c r="BI4" s="115"/>
      <c r="BJ4" s="115"/>
    </row>
    <row r="5" spans="2:62" ht="22.5" customHeight="1" x14ac:dyDescent="0.25">
      <c r="B5" s="812" t="s">
        <v>1070</v>
      </c>
      <c r="C5" s="812"/>
      <c r="D5" s="812"/>
      <c r="BC5" s="115"/>
      <c r="BD5" s="115"/>
      <c r="BE5" s="115"/>
      <c r="BF5" s="115"/>
      <c r="BG5" s="115"/>
      <c r="BH5" s="115"/>
      <c r="BI5" s="115"/>
      <c r="BJ5" s="115"/>
    </row>
    <row r="6" spans="2:62" ht="6" customHeight="1" x14ac:dyDescent="0.25">
      <c r="BC6" s="115"/>
      <c r="BD6" s="115"/>
      <c r="BE6" s="115"/>
      <c r="BF6" s="115"/>
      <c r="BG6" s="115"/>
      <c r="BH6" s="115"/>
      <c r="BI6" s="115"/>
      <c r="BJ6" s="115"/>
    </row>
    <row r="7" spans="2:62" ht="15.75" customHeight="1" x14ac:dyDescent="0.25">
      <c r="B7" s="810" t="s">
        <v>1071</v>
      </c>
      <c r="C7" s="190" t="s">
        <v>1072</v>
      </c>
      <c r="D7" s="190" t="s">
        <v>1073</v>
      </c>
      <c r="BC7" s="115"/>
      <c r="BD7" s="115"/>
      <c r="BE7" s="115"/>
      <c r="BF7" s="115"/>
      <c r="BG7" s="115"/>
      <c r="BH7" s="115"/>
      <c r="BI7" s="115"/>
      <c r="BJ7" s="115"/>
    </row>
    <row r="8" spans="2:62" ht="27.75" customHeight="1" thickBot="1" x14ac:dyDescent="0.3">
      <c r="B8" s="811"/>
      <c r="C8" s="191" t="s">
        <v>1074</v>
      </c>
      <c r="D8" s="192" t="s">
        <v>1075</v>
      </c>
      <c r="BC8" s="115"/>
      <c r="BD8" s="115"/>
      <c r="BE8" s="115"/>
      <c r="BF8" s="115"/>
      <c r="BG8" s="115"/>
      <c r="BH8" s="115"/>
      <c r="BI8" s="115"/>
      <c r="BJ8" s="115"/>
    </row>
    <row r="9" spans="2:62" ht="26.25" thickBot="1" x14ac:dyDescent="0.3">
      <c r="B9" s="188" t="s">
        <v>1076</v>
      </c>
      <c r="C9" s="185" t="s">
        <v>1077</v>
      </c>
      <c r="D9" s="185" t="s">
        <v>1078</v>
      </c>
      <c r="BC9" s="115"/>
      <c r="BD9" s="115"/>
      <c r="BE9" s="115"/>
      <c r="BF9" s="115"/>
      <c r="BG9" s="115"/>
      <c r="BH9" s="115"/>
      <c r="BI9" s="115"/>
      <c r="BJ9" s="115"/>
    </row>
    <row r="10" spans="2:62" ht="15.75" thickBot="1" x14ac:dyDescent="0.3">
      <c r="B10" s="188" t="s">
        <v>1079</v>
      </c>
      <c r="C10" s="185" t="s">
        <v>1080</v>
      </c>
      <c r="D10" s="185" t="s">
        <v>1081</v>
      </c>
      <c r="BC10" s="115"/>
      <c r="BD10" s="115"/>
      <c r="BE10" s="115"/>
      <c r="BF10" s="115"/>
      <c r="BG10" s="115"/>
      <c r="BH10" s="115"/>
      <c r="BI10" s="115"/>
      <c r="BJ10" s="115"/>
    </row>
    <row r="11" spans="2:62" ht="39" thickBot="1" x14ac:dyDescent="0.3">
      <c r="B11" s="188" t="s">
        <v>1082</v>
      </c>
      <c r="C11" s="185" t="s">
        <v>1083</v>
      </c>
      <c r="D11" s="185" t="s">
        <v>1084</v>
      </c>
      <c r="BC11" s="115"/>
      <c r="BD11" s="115"/>
      <c r="BE11" s="115"/>
      <c r="BF11" s="115"/>
      <c r="BG11" s="115"/>
      <c r="BH11" s="115"/>
      <c r="BI11" s="115"/>
      <c r="BJ11" s="115"/>
    </row>
    <row r="12" spans="2:62" ht="33" customHeight="1" thickBot="1" x14ac:dyDescent="0.3">
      <c r="B12" s="188" t="s">
        <v>1085</v>
      </c>
      <c r="C12" s="185" t="s">
        <v>1086</v>
      </c>
      <c r="D12" s="185" t="s">
        <v>1087</v>
      </c>
      <c r="BC12" s="115"/>
      <c r="BD12" s="115"/>
      <c r="BE12" s="115"/>
      <c r="BF12" s="115"/>
      <c r="BG12" s="115"/>
      <c r="BH12" s="115"/>
      <c r="BI12" s="115"/>
      <c r="BJ12" s="115"/>
    </row>
    <row r="13" spans="2:62" ht="26.25" thickBot="1" x14ac:dyDescent="0.3">
      <c r="B13" s="188" t="s">
        <v>1088</v>
      </c>
      <c r="C13" s="185" t="s">
        <v>1089</v>
      </c>
      <c r="D13" s="185" t="s">
        <v>1090</v>
      </c>
      <c r="BC13" s="115"/>
      <c r="BD13" s="115"/>
      <c r="BE13" s="115"/>
      <c r="BF13" s="115"/>
      <c r="BG13" s="115"/>
      <c r="BH13" s="115"/>
      <c r="BI13" s="115"/>
      <c r="BJ13" s="115"/>
    </row>
    <row r="14" spans="2:62" ht="26.25" thickBot="1" x14ac:dyDescent="0.3">
      <c r="B14" s="188" t="s">
        <v>1091</v>
      </c>
      <c r="C14" s="186" t="s">
        <v>1092</v>
      </c>
      <c r="D14" s="185" t="s">
        <v>1093</v>
      </c>
      <c r="BC14" s="115"/>
      <c r="BD14" s="115"/>
      <c r="BE14" s="115"/>
      <c r="BF14" s="115"/>
      <c r="BG14" s="115"/>
      <c r="BH14" s="115"/>
      <c r="BI14" s="115"/>
      <c r="BJ14" s="115"/>
    </row>
    <row r="15" spans="2:62" ht="26.25" thickBot="1" x14ac:dyDescent="0.3">
      <c r="B15" s="188" t="s">
        <v>1094</v>
      </c>
      <c r="C15" s="185" t="s">
        <v>1095</v>
      </c>
      <c r="D15" s="185" t="s">
        <v>1096</v>
      </c>
      <c r="BC15" s="115"/>
      <c r="BD15" s="115"/>
      <c r="BE15" s="115"/>
      <c r="BF15" s="115"/>
      <c r="BG15" s="115"/>
      <c r="BH15" s="115"/>
      <c r="BI15" s="115"/>
      <c r="BJ15" s="115"/>
    </row>
    <row r="16" spans="2:62" ht="26.25" thickBot="1" x14ac:dyDescent="0.3">
      <c r="B16" s="188" t="s">
        <v>1097</v>
      </c>
      <c r="C16" s="185" t="s">
        <v>1092</v>
      </c>
      <c r="D16" s="185" t="s">
        <v>1098</v>
      </c>
      <c r="BC16" s="115"/>
      <c r="BD16" s="115"/>
      <c r="BE16" s="115"/>
      <c r="BF16" s="115"/>
      <c r="BG16" s="115"/>
      <c r="BH16" s="115"/>
      <c r="BI16" s="115"/>
      <c r="BJ16" s="115"/>
    </row>
    <row r="17" spans="2:62" ht="51.75" thickBot="1" x14ac:dyDescent="0.3">
      <c r="B17" s="188" t="s">
        <v>1099</v>
      </c>
      <c r="C17" s="185" t="s">
        <v>1100</v>
      </c>
      <c r="D17" s="185" t="s">
        <v>1101</v>
      </c>
      <c r="BC17" s="115"/>
      <c r="BD17" s="115"/>
      <c r="BE17" s="115"/>
      <c r="BF17" s="115"/>
      <c r="BG17" s="115"/>
      <c r="BH17" s="115"/>
      <c r="BI17" s="115"/>
      <c r="BJ17" s="115"/>
    </row>
    <row r="18" spans="2:62" ht="26.25" thickBot="1" x14ac:dyDescent="0.3">
      <c r="B18" s="188" t="s">
        <v>1102</v>
      </c>
      <c r="C18" s="185" t="s">
        <v>1103</v>
      </c>
      <c r="D18" s="185" t="s">
        <v>1104</v>
      </c>
      <c r="BC18" s="115"/>
      <c r="BD18" s="115"/>
      <c r="BE18" s="115"/>
      <c r="BF18" s="115"/>
      <c r="BG18" s="115"/>
      <c r="BH18" s="115"/>
      <c r="BI18" s="115"/>
      <c r="BJ18" s="115"/>
    </row>
    <row r="19" spans="2:62" ht="51.75" thickBot="1" x14ac:dyDescent="0.3">
      <c r="B19" s="188" t="s">
        <v>1105</v>
      </c>
      <c r="C19" s="185" t="s">
        <v>1106</v>
      </c>
      <c r="D19" s="185" t="s">
        <v>1107</v>
      </c>
      <c r="BC19" s="115"/>
      <c r="BD19" s="115"/>
      <c r="BE19" s="115"/>
      <c r="BF19" s="115"/>
      <c r="BG19" s="115"/>
      <c r="BH19" s="115"/>
      <c r="BI19" s="115"/>
      <c r="BJ19" s="115"/>
    </row>
    <row r="20" spans="2:62" ht="39" thickBot="1" x14ac:dyDescent="0.3">
      <c r="B20" s="188" t="s">
        <v>1108</v>
      </c>
      <c r="C20" s="185" t="s">
        <v>1109</v>
      </c>
      <c r="D20" s="185" t="s">
        <v>1110</v>
      </c>
      <c r="BC20" s="115"/>
      <c r="BD20" s="115"/>
      <c r="BE20" s="115"/>
      <c r="BF20" s="115"/>
      <c r="BG20" s="115"/>
      <c r="BH20" s="115"/>
      <c r="BI20" s="115"/>
      <c r="BJ20" s="115"/>
    </row>
    <row r="21" spans="2:62" ht="39" thickBot="1" x14ac:dyDescent="0.3">
      <c r="B21" s="188" t="s">
        <v>1111</v>
      </c>
      <c r="C21" s="185" t="s">
        <v>1112</v>
      </c>
      <c r="D21" s="185" t="s">
        <v>1113</v>
      </c>
      <c r="BC21" s="115"/>
      <c r="BD21" s="115"/>
      <c r="BE21" s="115"/>
      <c r="BF21" s="115"/>
      <c r="BG21" s="115"/>
      <c r="BH21" s="115"/>
      <c r="BI21" s="115"/>
      <c r="BJ21" s="115"/>
    </row>
    <row r="22" spans="2:62" ht="26.25" thickBot="1" x14ac:dyDescent="0.3">
      <c r="B22" s="188" t="s">
        <v>1114</v>
      </c>
      <c r="C22" s="185" t="s">
        <v>1115</v>
      </c>
      <c r="D22" s="185" t="s">
        <v>1116</v>
      </c>
      <c r="BC22" s="115"/>
      <c r="BD22" s="115"/>
      <c r="BE22" s="115"/>
      <c r="BF22" s="115"/>
      <c r="BG22" s="115"/>
      <c r="BH22" s="115"/>
      <c r="BI22" s="115"/>
      <c r="BJ22" s="115"/>
    </row>
    <row r="23" spans="2:62" ht="26.25" thickBot="1" x14ac:dyDescent="0.3">
      <c r="B23" s="188" t="s">
        <v>1117</v>
      </c>
      <c r="C23" s="185" t="s">
        <v>1118</v>
      </c>
      <c r="D23" s="185" t="s">
        <v>1119</v>
      </c>
      <c r="BC23" s="115"/>
      <c r="BD23" s="115"/>
      <c r="BE23" s="115"/>
      <c r="BF23" s="115"/>
      <c r="BG23" s="115"/>
      <c r="BH23" s="115"/>
      <c r="BI23" s="115"/>
      <c r="BJ23" s="115"/>
    </row>
    <row r="24" spans="2:62" ht="39" thickBot="1" x14ac:dyDescent="0.3">
      <c r="B24" s="188" t="s">
        <v>1120</v>
      </c>
      <c r="C24" s="185" t="s">
        <v>1121</v>
      </c>
      <c r="D24" s="185" t="s">
        <v>1122</v>
      </c>
      <c r="BC24" s="115"/>
      <c r="BD24" s="115"/>
      <c r="BE24" s="115"/>
      <c r="BF24" s="115"/>
      <c r="BG24" s="115"/>
      <c r="BH24" s="115"/>
      <c r="BI24" s="115"/>
      <c r="BJ24" s="115"/>
    </row>
    <row r="25" spans="2:62" ht="15.75" thickBot="1" x14ac:dyDescent="0.3">
      <c r="B25" s="188" t="s">
        <v>1123</v>
      </c>
      <c r="C25" s="185" t="s">
        <v>1124</v>
      </c>
      <c r="D25" s="185" t="s">
        <v>1125</v>
      </c>
      <c r="BC25" s="115"/>
      <c r="BD25" s="115"/>
      <c r="BE25" s="115"/>
      <c r="BF25" s="115"/>
      <c r="BG25" s="115"/>
      <c r="BH25" s="115"/>
      <c r="BI25" s="115"/>
      <c r="BJ25" s="115"/>
    </row>
    <row r="26" spans="2:62" ht="51.75" thickBot="1" x14ac:dyDescent="0.3">
      <c r="B26" s="188" t="s">
        <v>1126</v>
      </c>
      <c r="C26" s="185" t="s">
        <v>1124</v>
      </c>
      <c r="D26" s="185" t="s">
        <v>1127</v>
      </c>
      <c r="BC26" s="115"/>
      <c r="BD26" s="115"/>
      <c r="BE26" s="115"/>
      <c r="BF26" s="115"/>
      <c r="BG26" s="115"/>
      <c r="BH26" s="115"/>
      <c r="BI26" s="115"/>
      <c r="BJ26" s="115"/>
    </row>
    <row r="27" spans="2:62" ht="39" thickBot="1" x14ac:dyDescent="0.3">
      <c r="B27" s="188" t="s">
        <v>1128</v>
      </c>
      <c r="C27" s="185" t="s">
        <v>1124</v>
      </c>
      <c r="D27" s="185" t="s">
        <v>1129</v>
      </c>
      <c r="BC27" s="115"/>
      <c r="BD27" s="115"/>
      <c r="BE27" s="115"/>
      <c r="BF27" s="115"/>
      <c r="BG27" s="115"/>
      <c r="BH27" s="115"/>
      <c r="BI27" s="115"/>
      <c r="BJ27" s="115"/>
    </row>
    <row r="28" spans="2:62" ht="26.25" thickBot="1" x14ac:dyDescent="0.3">
      <c r="B28" s="188" t="s">
        <v>1130</v>
      </c>
      <c r="C28" s="185" t="s">
        <v>1124</v>
      </c>
      <c r="D28" s="185" t="s">
        <v>1131</v>
      </c>
      <c r="BC28" s="115"/>
      <c r="BD28" s="115"/>
      <c r="BE28" s="115"/>
      <c r="BF28" s="115"/>
      <c r="BG28" s="115"/>
      <c r="BH28" s="115"/>
      <c r="BI28" s="115"/>
      <c r="BJ28" s="115"/>
    </row>
    <row r="29" spans="2:62" ht="52.5" customHeight="1" thickBot="1" x14ac:dyDescent="0.3">
      <c r="B29" s="188" t="s">
        <v>1132</v>
      </c>
      <c r="C29" s="185" t="s">
        <v>1133</v>
      </c>
      <c r="D29" s="185" t="s">
        <v>1134</v>
      </c>
      <c r="BC29" s="115"/>
      <c r="BD29" s="115"/>
      <c r="BE29" s="115"/>
      <c r="BF29" s="115"/>
      <c r="BG29" s="115"/>
      <c r="BH29" s="115"/>
      <c r="BI29" s="115"/>
      <c r="BJ29" s="115"/>
    </row>
    <row r="30" spans="2:62" ht="26.25" thickBot="1" x14ac:dyDescent="0.3">
      <c r="B30" s="188" t="s">
        <v>1135</v>
      </c>
      <c r="C30" s="185" t="s">
        <v>1136</v>
      </c>
      <c r="D30" s="185" t="s">
        <v>1137</v>
      </c>
      <c r="BC30" s="115"/>
      <c r="BD30" s="115"/>
      <c r="BE30" s="115"/>
      <c r="BF30" s="115"/>
      <c r="BG30" s="115"/>
      <c r="BH30" s="115"/>
      <c r="BI30" s="115"/>
      <c r="BJ30" s="115"/>
    </row>
    <row r="31" spans="2:62" ht="39" thickBot="1" x14ac:dyDescent="0.3">
      <c r="B31" s="188" t="s">
        <v>1138</v>
      </c>
      <c r="C31" s="185" t="s">
        <v>1139</v>
      </c>
      <c r="D31" s="185" t="s">
        <v>1140</v>
      </c>
      <c r="BC31" s="115"/>
      <c r="BD31" s="115"/>
      <c r="BE31" s="115"/>
      <c r="BF31" s="115"/>
      <c r="BG31" s="115"/>
      <c r="BH31" s="115"/>
      <c r="BI31" s="115"/>
      <c r="BJ31" s="115"/>
    </row>
    <row r="32" spans="2:62" ht="51.75" thickBot="1" x14ac:dyDescent="0.3">
      <c r="B32" s="188" t="s">
        <v>1141</v>
      </c>
      <c r="C32" s="185" t="s">
        <v>1142</v>
      </c>
      <c r="D32" s="185" t="s">
        <v>1143</v>
      </c>
      <c r="BC32" s="115"/>
      <c r="BD32" s="115"/>
      <c r="BE32" s="115"/>
      <c r="BF32" s="115"/>
      <c r="BG32" s="115"/>
      <c r="BH32" s="115"/>
      <c r="BI32" s="115"/>
      <c r="BJ32" s="115"/>
    </row>
    <row r="33" spans="2:62" ht="26.25" thickBot="1" x14ac:dyDescent="0.3">
      <c r="B33" s="188" t="s">
        <v>1144</v>
      </c>
      <c r="C33" s="185" t="s">
        <v>1145</v>
      </c>
      <c r="D33" s="185" t="s">
        <v>1146</v>
      </c>
      <c r="BC33" s="115"/>
      <c r="BD33" s="115"/>
      <c r="BE33" s="115"/>
      <c r="BF33" s="115"/>
      <c r="BG33" s="115"/>
      <c r="BH33" s="115"/>
      <c r="BI33" s="115"/>
      <c r="BJ33" s="115"/>
    </row>
    <row r="34" spans="2:62" ht="39" thickBot="1" x14ac:dyDescent="0.3">
      <c r="B34" s="188" t="s">
        <v>1147</v>
      </c>
      <c r="C34" s="185" t="s">
        <v>1148</v>
      </c>
      <c r="D34" s="185" t="s">
        <v>1149</v>
      </c>
      <c r="BC34" s="115"/>
      <c r="BD34" s="115"/>
      <c r="BE34" s="115"/>
      <c r="BF34" s="115"/>
      <c r="BG34" s="115"/>
      <c r="BH34" s="115"/>
      <c r="BI34" s="115"/>
      <c r="BJ34" s="115"/>
    </row>
    <row r="35" spans="2:62" ht="26.25" thickBot="1" x14ac:dyDescent="0.3">
      <c r="B35" s="188" t="s">
        <v>1150</v>
      </c>
      <c r="C35" s="185" t="s">
        <v>1151</v>
      </c>
      <c r="D35" s="185" t="s">
        <v>1152</v>
      </c>
      <c r="BC35" s="115"/>
      <c r="BD35" s="115"/>
      <c r="BE35" s="115"/>
      <c r="BF35" s="115"/>
      <c r="BG35" s="115"/>
      <c r="BH35" s="115"/>
      <c r="BI35" s="115"/>
      <c r="BJ35" s="115"/>
    </row>
    <row r="36" spans="2:62" ht="26.25" thickBot="1" x14ac:dyDescent="0.3">
      <c r="B36" s="188" t="s">
        <v>1153</v>
      </c>
      <c r="C36" s="185" t="s">
        <v>1154</v>
      </c>
      <c r="D36" s="185" t="s">
        <v>1155</v>
      </c>
      <c r="BC36" s="115"/>
      <c r="BD36" s="115"/>
      <c r="BE36" s="115"/>
      <c r="BF36" s="115"/>
      <c r="BG36" s="115"/>
      <c r="BH36" s="115"/>
      <c r="BI36" s="115"/>
      <c r="BJ36" s="115"/>
    </row>
    <row r="37" spans="2:62" ht="26.25" thickBot="1" x14ac:dyDescent="0.3">
      <c r="B37" s="188" t="s">
        <v>1156</v>
      </c>
      <c r="C37" s="185" t="s">
        <v>1157</v>
      </c>
      <c r="D37" s="185" t="s">
        <v>1158</v>
      </c>
      <c r="BC37" s="115"/>
      <c r="BD37" s="115"/>
      <c r="BE37" s="115"/>
      <c r="BF37" s="115"/>
      <c r="BG37" s="115"/>
      <c r="BH37" s="115"/>
      <c r="BI37" s="115"/>
      <c r="BJ37" s="115"/>
    </row>
    <row r="38" spans="2:62" ht="39" thickBot="1" x14ac:dyDescent="0.3">
      <c r="B38" s="188" t="s">
        <v>1159</v>
      </c>
      <c r="C38" s="185" t="s">
        <v>1160</v>
      </c>
      <c r="D38" s="185" t="s">
        <v>1161</v>
      </c>
      <c r="BC38" s="115"/>
      <c r="BD38" s="115"/>
      <c r="BE38" s="115"/>
      <c r="BF38" s="115"/>
      <c r="BG38" s="115"/>
      <c r="BH38" s="115"/>
      <c r="BI38" s="115"/>
      <c r="BJ38" s="115"/>
    </row>
    <row r="39" spans="2:62" ht="26.25" thickBot="1" x14ac:dyDescent="0.3">
      <c r="B39" s="188" t="s">
        <v>1162</v>
      </c>
      <c r="C39" s="185" t="s">
        <v>1163</v>
      </c>
      <c r="D39" s="185" t="s">
        <v>1164</v>
      </c>
      <c r="BC39" s="115"/>
      <c r="BD39" s="115"/>
      <c r="BE39" s="115"/>
      <c r="BF39" s="115"/>
      <c r="BG39" s="115"/>
      <c r="BH39" s="115"/>
      <c r="BI39" s="115"/>
      <c r="BJ39" s="115"/>
    </row>
    <row r="40" spans="2:62" ht="15.75" thickBot="1" x14ac:dyDescent="0.3">
      <c r="B40" s="188" t="s">
        <v>1165</v>
      </c>
      <c r="C40" s="185" t="s">
        <v>1166</v>
      </c>
      <c r="D40" s="185" t="s">
        <v>1167</v>
      </c>
      <c r="BC40" s="115"/>
      <c r="BD40" s="115"/>
      <c r="BE40" s="115"/>
      <c r="BF40" s="115"/>
      <c r="BG40" s="115"/>
      <c r="BH40" s="115"/>
      <c r="BI40" s="115"/>
      <c r="BJ40" s="115"/>
    </row>
    <row r="41" spans="2:62" ht="26.25" thickBot="1" x14ac:dyDescent="0.3">
      <c r="B41" s="188" t="s">
        <v>1168</v>
      </c>
      <c r="C41" s="185" t="s">
        <v>1169</v>
      </c>
      <c r="D41" s="185" t="s">
        <v>1170</v>
      </c>
      <c r="BC41" s="115"/>
      <c r="BD41" s="115"/>
      <c r="BE41" s="115"/>
      <c r="BF41" s="115"/>
      <c r="BG41" s="115"/>
      <c r="BH41" s="115"/>
      <c r="BI41" s="115"/>
      <c r="BJ41" s="115"/>
    </row>
    <row r="42" spans="2:62" ht="15.75" thickBot="1" x14ac:dyDescent="0.3">
      <c r="B42" s="188" t="s">
        <v>1171</v>
      </c>
      <c r="C42" s="185" t="s">
        <v>1172</v>
      </c>
      <c r="D42" s="185" t="s">
        <v>1173</v>
      </c>
      <c r="BC42" s="115"/>
      <c r="BD42" s="115"/>
      <c r="BE42" s="115"/>
      <c r="BF42" s="115"/>
      <c r="BG42" s="115"/>
      <c r="BH42" s="115"/>
      <c r="BI42" s="115"/>
      <c r="BJ42" s="115"/>
    </row>
    <row r="43" spans="2:62" ht="26.25" thickBot="1" x14ac:dyDescent="0.3">
      <c r="B43" s="188" t="s">
        <v>1174</v>
      </c>
      <c r="C43" s="185" t="s">
        <v>1175</v>
      </c>
      <c r="D43" s="185" t="s">
        <v>1176</v>
      </c>
      <c r="BC43" s="115"/>
      <c r="BD43" s="115"/>
      <c r="BE43" s="115"/>
      <c r="BF43" s="115"/>
      <c r="BG43" s="115"/>
      <c r="BH43" s="115"/>
      <c r="BI43" s="115"/>
      <c r="BJ43" s="115"/>
    </row>
    <row r="44" spans="2:62" ht="26.25" thickBot="1" x14ac:dyDescent="0.3">
      <c r="B44" s="188" t="s">
        <v>1177</v>
      </c>
      <c r="C44" s="185" t="s">
        <v>1136</v>
      </c>
      <c r="D44" s="185" t="s">
        <v>1178</v>
      </c>
      <c r="BC44" s="115"/>
      <c r="BD44" s="115"/>
      <c r="BE44" s="115"/>
      <c r="BF44" s="115"/>
      <c r="BG44" s="115"/>
      <c r="BH44" s="115"/>
      <c r="BI44" s="115"/>
      <c r="BJ44" s="115"/>
    </row>
    <row r="45" spans="2:62" ht="26.25" thickBot="1" x14ac:dyDescent="0.3">
      <c r="B45" s="188" t="s">
        <v>1179</v>
      </c>
      <c r="C45" s="185" t="s">
        <v>1180</v>
      </c>
      <c r="D45" s="185" t="s">
        <v>1181</v>
      </c>
      <c r="BC45" s="115"/>
      <c r="BD45" s="115"/>
      <c r="BE45" s="115"/>
      <c r="BF45" s="115"/>
      <c r="BG45" s="115"/>
      <c r="BH45" s="115"/>
      <c r="BI45" s="115"/>
      <c r="BJ45" s="115"/>
    </row>
    <row r="46" spans="2:62" ht="26.25" thickBot="1" x14ac:dyDescent="0.3">
      <c r="B46" s="188" t="s">
        <v>1182</v>
      </c>
      <c r="C46" s="185" t="s">
        <v>1183</v>
      </c>
      <c r="D46" s="185" t="s">
        <v>1184</v>
      </c>
      <c r="BC46" s="115"/>
      <c r="BD46" s="115"/>
      <c r="BE46" s="115"/>
      <c r="BF46" s="115"/>
      <c r="BG46" s="115"/>
      <c r="BH46" s="115"/>
      <c r="BI46" s="115"/>
      <c r="BJ46" s="115"/>
    </row>
    <row r="47" spans="2:62" ht="26.25" thickBot="1" x14ac:dyDescent="0.3">
      <c r="B47" s="188" t="s">
        <v>1185</v>
      </c>
      <c r="C47" s="185" t="s">
        <v>1186</v>
      </c>
      <c r="D47" s="185" t="s">
        <v>1187</v>
      </c>
      <c r="BC47" s="115"/>
      <c r="BD47" s="115"/>
      <c r="BE47" s="115"/>
      <c r="BF47" s="115"/>
      <c r="BG47" s="115"/>
      <c r="BH47" s="115"/>
      <c r="BI47" s="115"/>
      <c r="BJ47" s="115"/>
    </row>
    <row r="48" spans="2:62" ht="39" thickBot="1" x14ac:dyDescent="0.3">
      <c r="B48" s="188" t="s">
        <v>1188</v>
      </c>
      <c r="C48" s="185" t="s">
        <v>1189</v>
      </c>
      <c r="D48" s="185" t="s">
        <v>1190</v>
      </c>
      <c r="BC48" s="115"/>
      <c r="BD48" s="115"/>
      <c r="BE48" s="115"/>
      <c r="BF48" s="115"/>
      <c r="BG48" s="115"/>
      <c r="BH48" s="115"/>
      <c r="BI48" s="115"/>
      <c r="BJ48" s="115"/>
    </row>
    <row r="49" spans="2:62" ht="39" thickBot="1" x14ac:dyDescent="0.25">
      <c r="B49" s="188" t="s">
        <v>1191</v>
      </c>
      <c r="C49" s="185" t="s">
        <v>1186</v>
      </c>
      <c r="D49" s="185" t="s">
        <v>1192</v>
      </c>
    </row>
    <row r="50" spans="2:62" ht="26.25" thickBot="1" x14ac:dyDescent="0.3">
      <c r="B50" s="188" t="s">
        <v>1193</v>
      </c>
      <c r="C50" s="185" t="s">
        <v>1194</v>
      </c>
      <c r="D50" s="185" t="s">
        <v>1195</v>
      </c>
      <c r="BC50" s="115"/>
      <c r="BD50" s="115"/>
      <c r="BE50" s="115"/>
      <c r="BF50" s="115"/>
      <c r="BG50" s="115"/>
      <c r="BH50" s="115"/>
      <c r="BI50" s="115"/>
      <c r="BJ50" s="115"/>
    </row>
    <row r="51" spans="2:62" ht="26.25" thickBot="1" x14ac:dyDescent="0.3">
      <c r="B51" s="188" t="s">
        <v>1196</v>
      </c>
      <c r="C51" s="185" t="s">
        <v>1197</v>
      </c>
      <c r="D51" s="185" t="s">
        <v>1198</v>
      </c>
      <c r="BC51" s="115"/>
      <c r="BD51" s="115"/>
      <c r="BE51" s="115"/>
      <c r="BF51" s="115"/>
      <c r="BG51" s="115"/>
      <c r="BH51" s="115"/>
      <c r="BI51" s="115"/>
      <c r="BJ51" s="115"/>
    </row>
    <row r="52" spans="2:62" ht="39" thickBot="1" x14ac:dyDescent="0.3">
      <c r="B52" s="188" t="s">
        <v>1196</v>
      </c>
      <c r="C52" s="185" t="s">
        <v>1199</v>
      </c>
      <c r="D52" s="185" t="s">
        <v>1200</v>
      </c>
      <c r="BC52" s="115"/>
      <c r="BD52" s="115"/>
      <c r="BE52" s="115"/>
      <c r="BF52" s="115"/>
      <c r="BG52" s="115"/>
      <c r="BH52" s="115"/>
      <c r="BI52" s="115"/>
      <c r="BJ52" s="115"/>
    </row>
    <row r="53" spans="2:62" ht="26.25" thickBot="1" x14ac:dyDescent="0.3">
      <c r="B53" s="188" t="s">
        <v>1201</v>
      </c>
      <c r="C53" s="185" t="s">
        <v>1202</v>
      </c>
      <c r="D53" s="185" t="s">
        <v>1203</v>
      </c>
      <c r="BC53" s="115"/>
      <c r="BD53" s="115"/>
      <c r="BE53" s="115"/>
      <c r="BF53" s="115"/>
      <c r="BG53" s="115"/>
      <c r="BH53" s="115"/>
      <c r="BI53" s="115"/>
      <c r="BJ53" s="115"/>
    </row>
    <row r="54" spans="2:62" ht="26.25" thickBot="1" x14ac:dyDescent="0.3">
      <c r="B54" s="188" t="s">
        <v>1204</v>
      </c>
      <c r="C54" s="185" t="s">
        <v>1205</v>
      </c>
      <c r="D54" s="185" t="s">
        <v>1206</v>
      </c>
      <c r="BC54" s="115"/>
      <c r="BD54" s="115"/>
      <c r="BE54" s="115"/>
      <c r="BF54" s="115"/>
      <c r="BG54" s="115"/>
      <c r="BH54" s="115"/>
      <c r="BI54" s="115"/>
      <c r="BJ54" s="115"/>
    </row>
    <row r="55" spans="2:62" ht="39" thickBot="1" x14ac:dyDescent="0.3">
      <c r="B55" s="188" t="s">
        <v>1207</v>
      </c>
      <c r="C55" s="185" t="s">
        <v>1208</v>
      </c>
      <c r="D55" s="185" t="s">
        <v>1209</v>
      </c>
      <c r="BC55" s="115"/>
      <c r="BD55" s="115"/>
      <c r="BE55" s="115"/>
      <c r="BF55" s="115"/>
      <c r="BG55" s="115"/>
      <c r="BH55" s="115"/>
      <c r="BI55" s="115"/>
      <c r="BJ55" s="115"/>
    </row>
    <row r="56" spans="2:62" ht="26.25" thickBot="1" x14ac:dyDescent="0.3">
      <c r="B56" s="188" t="s">
        <v>1210</v>
      </c>
      <c r="C56" s="185" t="s">
        <v>1211</v>
      </c>
      <c r="D56" s="185" t="s">
        <v>1212</v>
      </c>
      <c r="BC56" s="115"/>
      <c r="BD56" s="115"/>
      <c r="BE56" s="115"/>
      <c r="BF56" s="115"/>
      <c r="BG56" s="115"/>
      <c r="BH56" s="115"/>
      <c r="BI56" s="115"/>
      <c r="BJ56" s="115"/>
    </row>
    <row r="57" spans="2:62" ht="39" thickBot="1" x14ac:dyDescent="0.3">
      <c r="B57" s="188" t="s">
        <v>1213</v>
      </c>
      <c r="C57" s="185" t="s">
        <v>1211</v>
      </c>
      <c r="D57" s="185" t="s">
        <v>1214</v>
      </c>
      <c r="BC57" s="115"/>
      <c r="BD57" s="115"/>
      <c r="BE57" s="115"/>
      <c r="BF57" s="115"/>
      <c r="BG57" s="115"/>
      <c r="BH57" s="115"/>
      <c r="BI57" s="115"/>
      <c r="BJ57" s="115"/>
    </row>
    <row r="58" spans="2:62" ht="26.25" thickBot="1" x14ac:dyDescent="0.3">
      <c r="B58" s="188" t="s">
        <v>1215</v>
      </c>
      <c r="C58" s="185" t="s">
        <v>1211</v>
      </c>
      <c r="D58" s="185" t="s">
        <v>1216</v>
      </c>
      <c r="BC58" s="115"/>
      <c r="BD58" s="115"/>
      <c r="BE58" s="115"/>
      <c r="BF58" s="115"/>
      <c r="BG58" s="115"/>
      <c r="BH58" s="115"/>
      <c r="BI58" s="115"/>
      <c r="BJ58" s="115"/>
    </row>
    <row r="59" spans="2:62" ht="25.5" x14ac:dyDescent="0.25">
      <c r="B59" s="189" t="s">
        <v>1217</v>
      </c>
      <c r="C59" s="187" t="s">
        <v>1218</v>
      </c>
      <c r="D59" s="187" t="s">
        <v>1219</v>
      </c>
      <c r="BC59" s="115"/>
      <c r="BD59" s="115"/>
      <c r="BE59" s="115"/>
      <c r="BF59" s="115"/>
      <c r="BG59" s="115"/>
      <c r="BH59" s="115"/>
      <c r="BI59" s="115"/>
      <c r="BJ59" s="115"/>
    </row>
    <row r="60" spans="2:62" ht="15.75" customHeight="1" x14ac:dyDescent="0.25">
      <c r="BC60" s="115"/>
      <c r="BD60" s="115"/>
      <c r="BE60" s="115"/>
      <c r="BF60" s="115"/>
      <c r="BG60" s="115"/>
      <c r="BH60" s="115"/>
      <c r="BI60" s="115"/>
      <c r="BJ60" s="115"/>
    </row>
    <row r="61" spans="2:62" ht="15.75" customHeight="1" x14ac:dyDescent="0.25">
      <c r="BC61" s="115"/>
      <c r="BD61" s="115"/>
      <c r="BE61" s="115"/>
      <c r="BF61" s="115"/>
      <c r="BG61" s="115"/>
      <c r="BH61" s="115"/>
      <c r="BI61" s="115"/>
      <c r="BJ61" s="115"/>
    </row>
    <row r="62" spans="2:62" ht="15.75" customHeight="1" x14ac:dyDescent="0.25">
      <c r="BC62" s="115"/>
      <c r="BD62" s="115"/>
      <c r="BE62" s="115"/>
      <c r="BF62" s="115"/>
      <c r="BG62" s="115"/>
      <c r="BH62" s="115"/>
      <c r="BI62" s="115"/>
      <c r="BJ62" s="115"/>
    </row>
    <row r="63" spans="2:62" ht="15.75" customHeight="1" x14ac:dyDescent="0.25">
      <c r="BC63" s="115"/>
      <c r="BD63" s="115"/>
      <c r="BE63" s="115"/>
      <c r="BF63" s="115"/>
      <c r="BG63" s="115"/>
      <c r="BH63" s="115"/>
      <c r="BI63" s="115"/>
      <c r="BJ63" s="115"/>
    </row>
    <row r="64" spans="2:62" ht="15.75" customHeight="1" x14ac:dyDescent="0.25">
      <c r="BC64" s="115"/>
      <c r="BD64" s="115"/>
      <c r="BE64" s="115"/>
      <c r="BF64" s="115"/>
      <c r="BG64" s="115"/>
      <c r="BH64" s="115"/>
      <c r="BI64" s="115"/>
      <c r="BJ64" s="115"/>
    </row>
    <row r="65" spans="2:62" ht="15.75" customHeight="1" x14ac:dyDescent="0.25">
      <c r="BC65" s="115"/>
      <c r="BD65" s="115"/>
      <c r="BE65" s="115"/>
      <c r="BF65" s="115"/>
      <c r="BG65" s="115"/>
      <c r="BH65" s="115"/>
      <c r="BI65" s="115"/>
      <c r="BJ65" s="115"/>
    </row>
    <row r="66" spans="2:62" ht="15.75" customHeight="1" x14ac:dyDescent="0.25">
      <c r="BC66" s="115"/>
      <c r="BD66" s="115"/>
      <c r="BE66" s="115"/>
      <c r="BF66" s="115"/>
      <c r="BG66" s="115"/>
      <c r="BH66" s="115"/>
      <c r="BI66" s="115"/>
    </row>
    <row r="67" spans="2:62" ht="15" customHeight="1" x14ac:dyDescent="0.25">
      <c r="BC67" s="115"/>
      <c r="BD67" s="115"/>
      <c r="BE67" s="115"/>
      <c r="BF67" s="115"/>
      <c r="BG67" s="115"/>
      <c r="BH67" s="115"/>
      <c r="BI67" s="115"/>
    </row>
    <row r="68" spans="2:62" ht="15" customHeight="1" x14ac:dyDescent="0.25">
      <c r="BC68" s="115"/>
      <c r="BD68" s="115"/>
      <c r="BE68" s="115"/>
      <c r="BF68" s="115"/>
      <c r="BG68" s="115"/>
      <c r="BH68" s="115"/>
      <c r="BI68" s="115"/>
    </row>
    <row r="69" spans="2:62" ht="15.75" customHeight="1" x14ac:dyDescent="0.25">
      <c r="BC69" s="115"/>
      <c r="BD69" s="115"/>
      <c r="BE69" s="115"/>
      <c r="BF69" s="115"/>
      <c r="BG69" s="115"/>
      <c r="BH69" s="115"/>
      <c r="BI69" s="115"/>
    </row>
    <row r="70" spans="2:62" ht="15.75" customHeight="1" x14ac:dyDescent="0.25">
      <c r="BC70" s="115"/>
      <c r="BD70" s="115"/>
      <c r="BE70" s="115"/>
      <c r="BF70" s="115"/>
      <c r="BG70" s="115"/>
      <c r="BH70" s="115"/>
      <c r="BI70" s="115"/>
    </row>
    <row r="71" spans="2:62" ht="15.75" customHeight="1" x14ac:dyDescent="0.25">
      <c r="BC71" s="115"/>
      <c r="BD71" s="115"/>
      <c r="BE71" s="115"/>
      <c r="BF71" s="115"/>
      <c r="BG71" s="115"/>
      <c r="BH71" s="115"/>
      <c r="BI71" s="115"/>
    </row>
    <row r="72" spans="2:62" ht="15.75" customHeight="1" x14ac:dyDescent="0.25">
      <c r="BC72" s="115"/>
      <c r="BD72" s="115"/>
      <c r="BE72" s="115"/>
      <c r="BF72" s="115"/>
      <c r="BG72" s="115"/>
      <c r="BH72" s="115"/>
      <c r="BI72" s="115"/>
    </row>
    <row r="73" spans="2:62" ht="15.75" customHeight="1" x14ac:dyDescent="0.25">
      <c r="BC73" s="115"/>
      <c r="BD73" s="115"/>
      <c r="BE73" s="115"/>
      <c r="BF73" s="115"/>
      <c r="BG73" s="115"/>
      <c r="BH73" s="115"/>
      <c r="BI73" s="115"/>
    </row>
    <row r="74" spans="2:62" ht="15.75" customHeight="1" x14ac:dyDescent="0.25">
      <c r="BC74" s="115"/>
      <c r="BD74" s="115"/>
      <c r="BE74" s="115"/>
      <c r="BF74" s="115"/>
      <c r="BG74" s="115"/>
      <c r="BH74" s="115"/>
      <c r="BI74" s="115"/>
    </row>
    <row r="75" spans="2:62" ht="15.75" customHeight="1" x14ac:dyDescent="0.25">
      <c r="BC75" s="115"/>
      <c r="BD75" s="115"/>
      <c r="BE75" s="115"/>
      <c r="BF75" s="115"/>
      <c r="BG75" s="115"/>
      <c r="BH75" s="115"/>
      <c r="BI75" s="115"/>
    </row>
    <row r="76" spans="2:62" ht="15.75" customHeight="1" x14ac:dyDescent="0.25">
      <c r="BC76" s="115"/>
      <c r="BD76" s="115"/>
      <c r="BE76" s="115"/>
      <c r="BF76" s="115"/>
      <c r="BG76" s="115"/>
      <c r="BH76" s="115"/>
      <c r="BI76" s="115"/>
    </row>
    <row r="77" spans="2:62" ht="15.75" customHeight="1" x14ac:dyDescent="0.25">
      <c r="BC77" s="115"/>
      <c r="BD77" s="115"/>
      <c r="BE77" s="115"/>
      <c r="BF77" s="115"/>
      <c r="BG77" s="115"/>
      <c r="BH77" s="115"/>
      <c r="BI77" s="115"/>
    </row>
    <row r="78" spans="2:62" ht="15.75" customHeight="1" x14ac:dyDescent="0.25">
      <c r="BC78" s="115"/>
      <c r="BD78" s="115"/>
      <c r="BE78" s="115"/>
      <c r="BF78" s="115"/>
      <c r="BG78" s="115"/>
      <c r="BH78" s="115"/>
      <c r="BI78" s="115"/>
    </row>
    <row r="79" spans="2:62" ht="15.75" customHeight="1" x14ac:dyDescent="0.2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row>
    <row r="80" spans="2:62" ht="15.75" customHeight="1" x14ac:dyDescent="0.2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row>
    <row r="81" spans="2:61" ht="15.75" customHeight="1" x14ac:dyDescent="0.2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row>
    <row r="82" spans="2:61" ht="15.75" customHeight="1" x14ac:dyDescent="0.2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row>
    <row r="83" spans="2:61" ht="15.75" customHeight="1" x14ac:dyDescent="0.2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row>
    <row r="84" spans="2:61" ht="15.75" customHeight="1" x14ac:dyDescent="0.2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row>
    <row r="85" spans="2:61" ht="15.75" customHeight="1" x14ac:dyDescent="0.2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row>
    <row r="86" spans="2:61" ht="15.75" customHeight="1" x14ac:dyDescent="0.2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row>
    <row r="87" spans="2:61" ht="15.75" customHeight="1" x14ac:dyDescent="0.2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row>
    <row r="88" spans="2:61" ht="15.75" customHeight="1" x14ac:dyDescent="0.2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row>
    <row r="89" spans="2:61" ht="15.75" customHeight="1" x14ac:dyDescent="0.2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row>
    <row r="90" spans="2:61" ht="15.75" customHeight="1" x14ac:dyDescent="0.2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row>
    <row r="91" spans="2:61" ht="15.75" customHeight="1" x14ac:dyDescent="0.2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row>
    <row r="92" spans="2:61" ht="15.75" customHeight="1" x14ac:dyDescent="0.2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row>
    <row r="93" spans="2:61" ht="15.75" customHeight="1" x14ac:dyDescent="0.2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row>
    <row r="94" spans="2:61" ht="15.75" customHeight="1" x14ac:dyDescent="0.2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row>
    <row r="95" spans="2:61" ht="15.75" customHeight="1" x14ac:dyDescent="0.2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row>
    <row r="96" spans="2:61" ht="15.75" customHeight="1" x14ac:dyDescent="0.2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row>
    <row r="97" spans="2:61" ht="15.75" customHeight="1" x14ac:dyDescent="0.2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row>
    <row r="98" spans="2:61" ht="15.75" customHeight="1" x14ac:dyDescent="0.2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row>
    <row r="99" spans="2:61" ht="15.75" customHeight="1" x14ac:dyDescent="0.2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row>
    <row r="100" spans="2:61" ht="15.75" customHeight="1" x14ac:dyDescent="0.2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row>
    <row r="101" spans="2:61" ht="15.75" customHeight="1" x14ac:dyDescent="0.2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row>
    <row r="102" spans="2:61" ht="15.75" customHeight="1" x14ac:dyDescent="0.2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row>
    <row r="103" spans="2:61" ht="15.75" customHeight="1" x14ac:dyDescent="0.2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row>
    <row r="104" spans="2:61" ht="15.75" customHeight="1" x14ac:dyDescent="0.2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row>
    <row r="105" spans="2:61" ht="15.75" customHeight="1" x14ac:dyDescent="0.2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row>
    <row r="106" spans="2:61" ht="15.75" customHeight="1" x14ac:dyDescent="0.2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row>
    <row r="107" spans="2:61" ht="15.75" customHeight="1" x14ac:dyDescent="0.2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row>
    <row r="108" spans="2:61" ht="15.75" customHeight="1" x14ac:dyDescent="0.2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row>
    <row r="109" spans="2:61" ht="15.75" customHeight="1" x14ac:dyDescent="0.2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row>
    <row r="110" spans="2:61" ht="15.75" customHeight="1" x14ac:dyDescent="0.2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row>
    <row r="111" spans="2:61" ht="15.75" customHeight="1" x14ac:dyDescent="0.2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row>
    <row r="112" spans="2:61" ht="15.75" customHeight="1" x14ac:dyDescent="0.2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row>
    <row r="113" spans="2:61" ht="15.75" customHeight="1" x14ac:dyDescent="0.2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row>
    <row r="114" spans="2:61" ht="15.75" customHeight="1" x14ac:dyDescent="0.2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row>
    <row r="115" spans="2:61" ht="15.75" customHeight="1" x14ac:dyDescent="0.2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row>
    <row r="116" spans="2:61" ht="15.75" customHeight="1" x14ac:dyDescent="0.2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row>
    <row r="117" spans="2:61" ht="15.75" customHeight="1" x14ac:dyDescent="0.2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row>
    <row r="118" spans="2:61" ht="15.75" customHeight="1" x14ac:dyDescent="0.2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row>
    <row r="119" spans="2:61" ht="15.75" customHeight="1" x14ac:dyDescent="0.2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row>
    <row r="120" spans="2:61" ht="15.75" customHeight="1" x14ac:dyDescent="0.2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row>
    <row r="121" spans="2:61" ht="15.75" customHeight="1" x14ac:dyDescent="0.2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row>
    <row r="122" spans="2:61" ht="15.75" customHeight="1" x14ac:dyDescent="0.2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row>
    <row r="123" spans="2:61" ht="15.75" customHeight="1" x14ac:dyDescent="0.2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row>
    <row r="124" spans="2:61" ht="15.75" customHeight="1" x14ac:dyDescent="0.2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row>
    <row r="125" spans="2:61" ht="15.75" customHeight="1" x14ac:dyDescent="0.2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row>
    <row r="126" spans="2:61" ht="15.75" customHeight="1" x14ac:dyDescent="0.2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row>
    <row r="127" spans="2:61" ht="15.75" customHeight="1" x14ac:dyDescent="0.2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row>
    <row r="128" spans="2:61" ht="15.75" customHeight="1" x14ac:dyDescent="0.2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row>
    <row r="129" spans="2:61" ht="15.75" customHeight="1" x14ac:dyDescent="0.2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row>
    <row r="130" spans="2:61" ht="15.75" customHeight="1" x14ac:dyDescent="0.2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row>
    <row r="131" spans="2:61" ht="15.75" customHeight="1" x14ac:dyDescent="0.2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row>
    <row r="132" spans="2:61" ht="15.75" customHeight="1" x14ac:dyDescent="0.2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row>
    <row r="133" spans="2:61" ht="15.75" customHeight="1" x14ac:dyDescent="0.2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row>
    <row r="134" spans="2:61" ht="15.75" customHeight="1" x14ac:dyDescent="0.2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row>
    <row r="135" spans="2:61" ht="15.75" customHeight="1" x14ac:dyDescent="0.2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row>
    <row r="136" spans="2:61" ht="15.75" customHeight="1" x14ac:dyDescent="0.2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row>
    <row r="137" spans="2:61" ht="15.75" customHeight="1" x14ac:dyDescent="0.2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row>
    <row r="138" spans="2:61" ht="15.75" customHeight="1" x14ac:dyDescent="0.2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row>
    <row r="139" spans="2:61" ht="15.75" customHeight="1" x14ac:dyDescent="0.2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row>
    <row r="140" spans="2:61" ht="15.75" customHeight="1" x14ac:dyDescent="0.2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row>
    <row r="141" spans="2:61" ht="15.75" customHeight="1" x14ac:dyDescent="0.2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row>
    <row r="142" spans="2:61" ht="15.75" customHeight="1" x14ac:dyDescent="0.2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row>
    <row r="143" spans="2:61" ht="15.75" customHeight="1" x14ac:dyDescent="0.2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row>
    <row r="144" spans="2:61" ht="15.75" customHeight="1" x14ac:dyDescent="0.2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row>
    <row r="145" spans="2:61" ht="15.75" customHeight="1" x14ac:dyDescent="0.2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row>
    <row r="146" spans="2:61" ht="15.75" customHeight="1" x14ac:dyDescent="0.2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row>
    <row r="147" spans="2:61" ht="15.75" customHeight="1" x14ac:dyDescent="0.2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row>
    <row r="148" spans="2:61" ht="15.75" customHeight="1" x14ac:dyDescent="0.2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row>
    <row r="149" spans="2:61" ht="15.75" customHeight="1" x14ac:dyDescent="0.2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row>
    <row r="150" spans="2:61" ht="15.75" customHeight="1" x14ac:dyDescent="0.2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row>
    <row r="151" spans="2:61" ht="15.75" customHeight="1" x14ac:dyDescent="0.2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row>
    <row r="152" spans="2:61" ht="15.75" customHeight="1" x14ac:dyDescent="0.2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row>
    <row r="153" spans="2:61" ht="15.75" customHeight="1" x14ac:dyDescent="0.2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row>
    <row r="154" spans="2:61" ht="15.75" customHeight="1" x14ac:dyDescent="0.2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row>
    <row r="155" spans="2:61" ht="15.75" customHeight="1" x14ac:dyDescent="0.2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row>
    <row r="156" spans="2:61" ht="15.75" customHeight="1" x14ac:dyDescent="0.2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row>
    <row r="157" spans="2:61" ht="15.75" customHeight="1" x14ac:dyDescent="0.2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row>
    <row r="158" spans="2:61" ht="15.75" customHeight="1" x14ac:dyDescent="0.2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row>
    <row r="159" spans="2:61" ht="15.75" customHeight="1" x14ac:dyDescent="0.2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row>
    <row r="160" spans="2:61" ht="15.75" customHeight="1" x14ac:dyDescent="0.2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row>
    <row r="161" spans="2:61" ht="15.75" customHeight="1" x14ac:dyDescent="0.2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row>
    <row r="162" spans="2:61" ht="15.75" customHeight="1" x14ac:dyDescent="0.2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row>
    <row r="163" spans="2:61" ht="15.75" customHeight="1" x14ac:dyDescent="0.2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row>
    <row r="164" spans="2:61" ht="15.75" customHeight="1" x14ac:dyDescent="0.2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row>
    <row r="165" spans="2:61" ht="15.75" customHeight="1" x14ac:dyDescent="0.2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row>
    <row r="166" spans="2:61" ht="15.75" customHeight="1" x14ac:dyDescent="0.2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row>
    <row r="167" spans="2:61" ht="15.75" customHeight="1" x14ac:dyDescent="0.2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row>
    <row r="168" spans="2:61" ht="15.75" customHeight="1" x14ac:dyDescent="0.2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row>
    <row r="169" spans="2:61" ht="15.75" customHeight="1" x14ac:dyDescent="0.2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row>
    <row r="170" spans="2:61" ht="15.75" customHeight="1" x14ac:dyDescent="0.2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row>
    <row r="171" spans="2:61" ht="15.75" customHeight="1" x14ac:dyDescent="0.2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row>
    <row r="172" spans="2:61" ht="15.75" customHeight="1" x14ac:dyDescent="0.2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row>
    <row r="173" spans="2:61" ht="15.75" customHeight="1" x14ac:dyDescent="0.2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row>
    <row r="174" spans="2:61" ht="15.75" customHeight="1" x14ac:dyDescent="0.2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row>
    <row r="175" spans="2:61" ht="15.75" customHeight="1" x14ac:dyDescent="0.2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row>
    <row r="176" spans="2:61" ht="15.75" customHeight="1" x14ac:dyDescent="0.2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row>
    <row r="177" spans="2:61" ht="15.75" customHeight="1" x14ac:dyDescent="0.2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row>
    <row r="178" spans="2:61" ht="15.75" customHeight="1" x14ac:dyDescent="0.2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row>
    <row r="179" spans="2:61" ht="15.75" customHeight="1" x14ac:dyDescent="0.2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row>
    <row r="180" spans="2:61" ht="15.75" customHeight="1" x14ac:dyDescent="0.2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row>
    <row r="181" spans="2:61" ht="15.75" customHeight="1" x14ac:dyDescent="0.2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row>
    <row r="182" spans="2:61" ht="15.75" customHeight="1" x14ac:dyDescent="0.2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row>
    <row r="183" spans="2:61" ht="15.75" customHeight="1" x14ac:dyDescent="0.2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row>
    <row r="184" spans="2:61" ht="15.75" customHeight="1" x14ac:dyDescent="0.2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row>
    <row r="185" spans="2:61" ht="15.75" customHeight="1" x14ac:dyDescent="0.2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row>
    <row r="186" spans="2:61" ht="15.75" customHeight="1" x14ac:dyDescent="0.2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row>
    <row r="187" spans="2:61" ht="15.75" customHeight="1" x14ac:dyDescent="0.2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row>
    <row r="188" spans="2:61" ht="15.75" customHeight="1" x14ac:dyDescent="0.2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row>
    <row r="189" spans="2:61" ht="15.75" customHeight="1" x14ac:dyDescent="0.2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row>
    <row r="190" spans="2:61" ht="15.75" customHeight="1" x14ac:dyDescent="0.2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row>
    <row r="191" spans="2:61" ht="15.75" customHeight="1" x14ac:dyDescent="0.2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row>
    <row r="192" spans="2:61" ht="15.75" customHeight="1" x14ac:dyDescent="0.2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row>
    <row r="193" spans="2:61" ht="15.75" customHeight="1" x14ac:dyDescent="0.2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row>
    <row r="194" spans="2:61" ht="15.75" customHeight="1" x14ac:dyDescent="0.2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row>
    <row r="195" spans="2:61" ht="15.75" customHeight="1" x14ac:dyDescent="0.25">
      <c r="B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row>
    <row r="196" spans="2:61" ht="15.75" customHeight="1" x14ac:dyDescent="0.25">
      <c r="B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row>
    <row r="197" spans="2:61" ht="15.75" customHeight="1" x14ac:dyDescent="0.25">
      <c r="B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row>
    <row r="198" spans="2:61" ht="15.75" customHeight="1" x14ac:dyDescent="0.25">
      <c r="B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row>
    <row r="199" spans="2:61" ht="15.75" customHeight="1" x14ac:dyDescent="0.25">
      <c r="B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row>
    <row r="200" spans="2:61" ht="15.75" customHeight="1" x14ac:dyDescent="0.25">
      <c r="B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row>
    <row r="201" spans="2:61" ht="15.75" customHeight="1" x14ac:dyDescent="0.25">
      <c r="B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row>
    <row r="202" spans="2:61" ht="15.75" customHeight="1" x14ac:dyDescent="0.25">
      <c r="B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row>
    <row r="203" spans="2:61" ht="15.75" customHeight="1" x14ac:dyDescent="0.25">
      <c r="B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row>
    <row r="204" spans="2:61" ht="15.75" customHeight="1" x14ac:dyDescent="0.25">
      <c r="B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row>
    <row r="205" spans="2:61" ht="15.75" customHeight="1" x14ac:dyDescent="0.25">
      <c r="B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row>
    <row r="206" spans="2:61" ht="15.75" customHeight="1" x14ac:dyDescent="0.25">
      <c r="B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row>
    <row r="207" spans="2:61" ht="15.75" customHeight="1" x14ac:dyDescent="0.25">
      <c r="B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row>
    <row r="208" spans="2:61" ht="15.75" customHeight="1" x14ac:dyDescent="0.25">
      <c r="B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row>
    <row r="209" spans="2:61" ht="15.75" customHeight="1" x14ac:dyDescent="0.25">
      <c r="B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row>
    <row r="210" spans="2:61" ht="15.75" customHeight="1" x14ac:dyDescent="0.25">
      <c r="B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row>
    <row r="211" spans="2:61" ht="15.75" customHeight="1" x14ac:dyDescent="0.25">
      <c r="B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row>
    <row r="212" spans="2:61" ht="15.75" customHeight="1" x14ac:dyDescent="0.25">
      <c r="B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row>
    <row r="213" spans="2:61" ht="15.75" customHeight="1" x14ac:dyDescent="0.25">
      <c r="B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row>
    <row r="214" spans="2:61" ht="15.75" customHeight="1" x14ac:dyDescent="0.25">
      <c r="B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row>
    <row r="215" spans="2:61" ht="15.75" customHeight="1" x14ac:dyDescent="0.25">
      <c r="B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row>
    <row r="216" spans="2:61" ht="15.75" customHeight="1" x14ac:dyDescent="0.25">
      <c r="B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row>
    <row r="217" spans="2:61" ht="15.75" customHeight="1" x14ac:dyDescent="0.25">
      <c r="B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row>
    <row r="218" spans="2:61" ht="15.75" customHeight="1" x14ac:dyDescent="0.25">
      <c r="B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row>
    <row r="219" spans="2:61" ht="15.75" customHeight="1" x14ac:dyDescent="0.25">
      <c r="B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row>
    <row r="220" spans="2:61" ht="15.75" customHeight="1" x14ac:dyDescent="0.25">
      <c r="B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row>
    <row r="221" spans="2:61" ht="15.75" customHeight="1" x14ac:dyDescent="0.25">
      <c r="B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row>
    <row r="222" spans="2:61" ht="15.75" customHeight="1" x14ac:dyDescent="0.25">
      <c r="B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row>
    <row r="223" spans="2:61" ht="15.75" customHeight="1" x14ac:dyDescent="0.25">
      <c r="B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row>
    <row r="224" spans="2:61" ht="15.75" customHeight="1" x14ac:dyDescent="0.25">
      <c r="B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row>
    <row r="225" spans="2:61" ht="15.75" customHeight="1" x14ac:dyDescent="0.25">
      <c r="B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row>
    <row r="226" spans="2:61" ht="15.75" customHeight="1" x14ac:dyDescent="0.25">
      <c r="B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row>
    <row r="227" spans="2:61" ht="15.75" customHeight="1" x14ac:dyDescent="0.25">
      <c r="B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row>
    <row r="228" spans="2:61" ht="15.75" customHeight="1" x14ac:dyDescent="0.25">
      <c r="B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row>
    <row r="229" spans="2:61" ht="15.75" customHeight="1" x14ac:dyDescent="0.25">
      <c r="B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row>
    <row r="230" spans="2:61" ht="15.75" customHeight="1" x14ac:dyDescent="0.25">
      <c r="B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row>
    <row r="231" spans="2:61" ht="15.75" customHeight="1" x14ac:dyDescent="0.25">
      <c r="B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row>
    <row r="232" spans="2:61" ht="15.75" customHeight="1" x14ac:dyDescent="0.25">
      <c r="B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row>
    <row r="233" spans="2:61" ht="15.75" customHeight="1" x14ac:dyDescent="0.25">
      <c r="B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row>
    <row r="234" spans="2:61" ht="15.75" customHeight="1" x14ac:dyDescent="0.25">
      <c r="B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row>
    <row r="235" spans="2:61" ht="15.75" customHeight="1" x14ac:dyDescent="0.25">
      <c r="B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row>
    <row r="236" spans="2:61" ht="15.75" customHeight="1" x14ac:dyDescent="0.25">
      <c r="B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row>
    <row r="237" spans="2:61" ht="15.75" customHeight="1" x14ac:dyDescent="0.25">
      <c r="B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row>
    <row r="238" spans="2:61" ht="15.75" customHeight="1" x14ac:dyDescent="0.25">
      <c r="B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row>
    <row r="239" spans="2:61" ht="15.75" customHeight="1" x14ac:dyDescent="0.25">
      <c r="B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row>
    <row r="240" spans="2:61" ht="15.75" customHeight="1" x14ac:dyDescent="0.25">
      <c r="B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row>
    <row r="241" spans="2:61" ht="15.75" customHeight="1" x14ac:dyDescent="0.25">
      <c r="B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row>
    <row r="242" spans="2:61" ht="15.75" customHeight="1" x14ac:dyDescent="0.25">
      <c r="B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row>
    <row r="243" spans="2:61" ht="15.75" customHeight="1" x14ac:dyDescent="0.25">
      <c r="B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row>
    <row r="244" spans="2:61" ht="15.75" customHeight="1" x14ac:dyDescent="0.25">
      <c r="B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row>
    <row r="245" spans="2:61" ht="15.75" customHeight="1" x14ac:dyDescent="0.25">
      <c r="B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row>
    <row r="246" spans="2:61" ht="15.75" customHeight="1" x14ac:dyDescent="0.25">
      <c r="B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row>
    <row r="247" spans="2:61" ht="15.75" customHeight="1" x14ac:dyDescent="0.25">
      <c r="B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row>
    <row r="248" spans="2:61" ht="15.75" customHeight="1" x14ac:dyDescent="0.25">
      <c r="B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row>
    <row r="249" spans="2:61" ht="15.75" customHeight="1" x14ac:dyDescent="0.25">
      <c r="B249" s="115"/>
    </row>
    <row r="250" spans="2:61" ht="15.75" customHeight="1" x14ac:dyDescent="0.25">
      <c r="B250" s="115"/>
    </row>
    <row r="251" spans="2:61" ht="15.75" customHeight="1" x14ac:dyDescent="0.25">
      <c r="B251" s="115"/>
    </row>
    <row r="252" spans="2:61" ht="15.75" customHeight="1" x14ac:dyDescent="0.25">
      <c r="B252" s="115"/>
    </row>
    <row r="253" spans="2:61" ht="15.75" customHeight="1" x14ac:dyDescent="0.2"/>
    <row r="254" spans="2:61" ht="15.75" customHeight="1" x14ac:dyDescent="0.2"/>
    <row r="255" spans="2:61" ht="15.75" customHeight="1" x14ac:dyDescent="0.2"/>
    <row r="256" spans="2:61"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sheetData>
  <mergeCells count="2">
    <mergeCell ref="B7:B8"/>
    <mergeCell ref="B5:D5"/>
  </mergeCells>
  <pageMargins left="0.70866141732283472" right="0.70866141732283472" top="0.74803149606299213" bottom="0.74803149606299213" header="0" footer="0"/>
  <pageSetup scale="39" orientation="portrait" r:id="rId1"/>
  <headerFooter>
    <oddHeader>&amp;L&amp;G&amp;C
MATRIZ DE RIESGOS</oddHeader>
    <oddFooter>&amp;RCódigo:E-02-F-014
Versión: 5
Fecha: Ver Isolución</oddFooter>
  </headerFooter>
  <colBreaks count="1" manualBreakCount="1">
    <brk id="40" max="1048575" man="1"/>
  </colBreaks>
  <legacyDrawingHF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55599-DD50-4A8D-AEAD-F509BAAFB31A}">
  <sheetPr>
    <tabColor theme="2" tint="-0.34998626667073579"/>
  </sheetPr>
  <dimension ref="A1:AV37"/>
  <sheetViews>
    <sheetView topLeftCell="AF1" zoomScale="55" zoomScaleNormal="55" zoomScaleSheetLayoutView="25" workbookViewId="0">
      <selection activeCell="AR3" sqref="AR1:DB1048576"/>
    </sheetView>
  </sheetViews>
  <sheetFormatPr baseColWidth="10" defaultColWidth="9" defaultRowHeight="15" customHeight="1" x14ac:dyDescent="0.2"/>
  <cols>
    <col min="1" max="1" width="13" style="238" customWidth="1"/>
    <col min="2" max="2" width="20.875" style="238" customWidth="1"/>
    <col min="3" max="3" width="24.125" style="254" customWidth="1"/>
    <col min="4" max="4" width="38.75" style="238" customWidth="1"/>
    <col min="5" max="5" width="63.125" style="238" customWidth="1"/>
    <col min="6" max="7" width="29.125" style="238" customWidth="1"/>
    <col min="8" max="8" width="27.375" style="254" customWidth="1"/>
    <col min="9" max="9" width="66.125" style="252" customWidth="1"/>
    <col min="10" max="10" width="33.375" style="252" customWidth="1"/>
    <col min="11" max="11" width="44.125" style="252" customWidth="1"/>
    <col min="12" max="12" width="16.625" style="252" customWidth="1"/>
    <col min="13" max="13" width="17" style="252" customWidth="1"/>
    <col min="14" max="14" width="15.625" style="255" customWidth="1"/>
    <col min="15" max="15" width="14.5" style="267" customWidth="1"/>
    <col min="16" max="16" width="5.5" style="254" customWidth="1"/>
    <col min="17" max="17" width="23.875" style="254" customWidth="1"/>
    <col min="18" max="18" width="26.75" style="254" customWidth="1"/>
    <col min="19" max="19" width="15.375" style="254" customWidth="1"/>
    <col min="20" max="20" width="5.5" style="254" customWidth="1"/>
    <col min="21" max="21" width="14" style="254" customWidth="1"/>
    <col min="22" max="22" width="5.125" style="252" customWidth="1"/>
    <col min="23" max="23" width="72.25" style="252" customWidth="1"/>
    <col min="24" max="24" width="13.25" style="252" customWidth="1"/>
    <col min="25" max="25" width="6" style="252" customWidth="1"/>
    <col min="26" max="27" width="4.875" style="252" customWidth="1"/>
    <col min="28" max="28" width="6.25" style="252" customWidth="1"/>
    <col min="29" max="29" width="5.875" style="252" customWidth="1"/>
    <col min="30" max="30" width="6.625" style="252" customWidth="1"/>
    <col min="31" max="31" width="33.5" style="252" customWidth="1"/>
    <col min="32" max="32" width="7.625" style="252" customWidth="1"/>
    <col min="33" max="33" width="9.125" style="252" customWidth="1"/>
    <col min="34" max="34" width="8.125" style="252" customWidth="1"/>
    <col min="35" max="35" width="8" style="252" customWidth="1"/>
    <col min="36" max="36" width="7.375" style="252" customWidth="1"/>
    <col min="37" max="37" width="6.375" style="252" customWidth="1"/>
    <col min="38" max="38" width="38" style="252" customWidth="1"/>
    <col min="39" max="39" width="33.375" style="253" customWidth="1"/>
    <col min="40" max="40" width="14.75" style="252" customWidth="1"/>
    <col min="41" max="41" width="28.625" style="252" customWidth="1"/>
    <col min="42" max="42" width="41.375" style="238" customWidth="1"/>
    <col min="43" max="43" width="10" style="238" customWidth="1"/>
    <col min="49" max="16384" width="9" style="238"/>
  </cols>
  <sheetData>
    <row r="1" spans="1:43" ht="42" customHeight="1" x14ac:dyDescent="0.3">
      <c r="A1" s="813" t="s">
        <v>140</v>
      </c>
      <c r="B1" s="814"/>
      <c r="C1" s="814"/>
      <c r="D1" s="814"/>
      <c r="E1" s="815"/>
      <c r="F1" s="815"/>
      <c r="G1" s="815"/>
      <c r="H1" s="816"/>
      <c r="I1" s="817"/>
      <c r="J1" s="817"/>
      <c r="K1" s="817"/>
      <c r="L1" s="817"/>
      <c r="M1" s="817"/>
      <c r="N1" s="818"/>
      <c r="O1" s="813" t="s">
        <v>141</v>
      </c>
      <c r="P1" s="816"/>
      <c r="Q1" s="816"/>
      <c r="R1" s="816"/>
      <c r="S1" s="816"/>
      <c r="T1" s="816"/>
      <c r="U1" s="819"/>
      <c r="V1" s="813" t="s">
        <v>142</v>
      </c>
      <c r="W1" s="817"/>
      <c r="X1" s="817"/>
      <c r="Y1" s="817"/>
      <c r="Z1" s="817"/>
      <c r="AA1" s="817"/>
      <c r="AB1" s="817"/>
      <c r="AC1" s="817"/>
      <c r="AD1" s="818"/>
      <c r="AE1" s="813" t="s">
        <v>143</v>
      </c>
      <c r="AF1" s="817"/>
      <c r="AG1" s="817"/>
      <c r="AH1" s="817"/>
      <c r="AI1" s="817"/>
      <c r="AJ1" s="817"/>
      <c r="AK1" s="818"/>
      <c r="AL1" s="820" t="s">
        <v>144</v>
      </c>
      <c r="AM1" s="821"/>
      <c r="AN1" s="821"/>
      <c r="AO1" s="821"/>
      <c r="AP1" s="236" t="s">
        <v>1220</v>
      </c>
      <c r="AQ1" s="237"/>
    </row>
    <row r="2" spans="1:43" ht="66.75" customHeight="1" x14ac:dyDescent="0.3">
      <c r="A2" s="275" t="s">
        <v>166</v>
      </c>
      <c r="B2" s="276" t="s">
        <v>1221</v>
      </c>
      <c r="C2" s="277" t="s">
        <v>86</v>
      </c>
      <c r="D2" s="278" t="s">
        <v>88</v>
      </c>
      <c r="E2" s="277" t="s">
        <v>90</v>
      </c>
      <c r="F2" s="824" t="s">
        <v>1222</v>
      </c>
      <c r="G2" s="825"/>
      <c r="H2" s="279" t="s">
        <v>1223</v>
      </c>
      <c r="I2" s="280" t="s">
        <v>1224</v>
      </c>
      <c r="J2" s="280" t="s">
        <v>1225</v>
      </c>
      <c r="K2" s="280" t="s">
        <v>1226</v>
      </c>
      <c r="L2" s="280" t="s">
        <v>99</v>
      </c>
      <c r="M2" s="281" t="s">
        <v>101</v>
      </c>
      <c r="N2" s="282" t="s">
        <v>150</v>
      </c>
      <c r="O2" s="280" t="s">
        <v>151</v>
      </c>
      <c r="P2" s="283" t="s">
        <v>152</v>
      </c>
      <c r="Q2" s="282" t="s">
        <v>153</v>
      </c>
      <c r="R2" s="282" t="s">
        <v>154</v>
      </c>
      <c r="S2" s="284" t="s">
        <v>155</v>
      </c>
      <c r="T2" s="283" t="s">
        <v>152</v>
      </c>
      <c r="U2" s="280" t="s">
        <v>107</v>
      </c>
      <c r="V2" s="285" t="s">
        <v>156</v>
      </c>
      <c r="W2" s="282" t="s">
        <v>109</v>
      </c>
      <c r="X2" s="282" t="s">
        <v>111</v>
      </c>
      <c r="Y2" s="826" t="s">
        <v>157</v>
      </c>
      <c r="Z2" s="817"/>
      <c r="AA2" s="817"/>
      <c r="AB2" s="817"/>
      <c r="AC2" s="817"/>
      <c r="AD2" s="818"/>
      <c r="AE2" s="285" t="s">
        <v>158</v>
      </c>
      <c r="AF2" s="285" t="s">
        <v>159</v>
      </c>
      <c r="AG2" s="285" t="s">
        <v>152</v>
      </c>
      <c r="AH2" s="285" t="s">
        <v>160</v>
      </c>
      <c r="AI2" s="285" t="s">
        <v>152</v>
      </c>
      <c r="AJ2" s="285" t="s">
        <v>161</v>
      </c>
      <c r="AK2" s="285" t="s">
        <v>127</v>
      </c>
      <c r="AL2" s="282" t="s">
        <v>1227</v>
      </c>
      <c r="AM2" s="282" t="s">
        <v>164</v>
      </c>
      <c r="AN2" s="282" t="s">
        <v>165</v>
      </c>
      <c r="AO2" s="282" t="s">
        <v>131</v>
      </c>
      <c r="AP2" s="827" t="s">
        <v>1228</v>
      </c>
      <c r="AQ2" s="237"/>
    </row>
    <row r="3" spans="1:43" ht="82.5" x14ac:dyDescent="0.2">
      <c r="A3" s="275" t="s">
        <v>166</v>
      </c>
      <c r="B3" s="276" t="s">
        <v>1221</v>
      </c>
      <c r="C3" s="277" t="s">
        <v>86</v>
      </c>
      <c r="D3" s="278" t="s">
        <v>88</v>
      </c>
      <c r="E3" s="277" t="s">
        <v>90</v>
      </c>
      <c r="F3" s="286" t="s">
        <v>1229</v>
      </c>
      <c r="G3" s="287" t="s">
        <v>1230</v>
      </c>
      <c r="H3" s="279" t="s">
        <v>1223</v>
      </c>
      <c r="I3" s="280" t="s">
        <v>1224</v>
      </c>
      <c r="J3" s="280" t="s">
        <v>1225</v>
      </c>
      <c r="K3" s="280" t="s">
        <v>1226</v>
      </c>
      <c r="L3" s="280" t="s">
        <v>99</v>
      </c>
      <c r="M3" s="281" t="s">
        <v>101</v>
      </c>
      <c r="N3" s="282" t="s">
        <v>150</v>
      </c>
      <c r="O3" s="280" t="s">
        <v>151</v>
      </c>
      <c r="P3" s="283" t="s">
        <v>152</v>
      </c>
      <c r="Q3" s="282" t="s">
        <v>153</v>
      </c>
      <c r="R3" s="282" t="s">
        <v>154</v>
      </c>
      <c r="S3" s="284" t="s">
        <v>155</v>
      </c>
      <c r="T3" s="283" t="s">
        <v>152</v>
      </c>
      <c r="U3" s="280" t="s">
        <v>107</v>
      </c>
      <c r="V3" s="285" t="s">
        <v>156</v>
      </c>
      <c r="W3" s="282" t="s">
        <v>109</v>
      </c>
      <c r="X3" s="282" t="s">
        <v>111</v>
      </c>
      <c r="Y3" s="288" t="s">
        <v>170</v>
      </c>
      <c r="Z3" s="288" t="s">
        <v>171</v>
      </c>
      <c r="AA3" s="288" t="s">
        <v>172</v>
      </c>
      <c r="AB3" s="288" t="s">
        <v>173</v>
      </c>
      <c r="AC3" s="288" t="s">
        <v>174</v>
      </c>
      <c r="AD3" s="288" t="s">
        <v>175</v>
      </c>
      <c r="AE3" s="285" t="s">
        <v>158</v>
      </c>
      <c r="AF3" s="285" t="s">
        <v>159</v>
      </c>
      <c r="AG3" s="285" t="s">
        <v>152</v>
      </c>
      <c r="AH3" s="285" t="s">
        <v>160</v>
      </c>
      <c r="AI3" s="285" t="s">
        <v>152</v>
      </c>
      <c r="AJ3" s="285" t="s">
        <v>161</v>
      </c>
      <c r="AK3" s="285" t="s">
        <v>127</v>
      </c>
      <c r="AL3" s="282" t="s">
        <v>1227</v>
      </c>
      <c r="AM3" s="282" t="s">
        <v>164</v>
      </c>
      <c r="AN3" s="282" t="s">
        <v>165</v>
      </c>
      <c r="AO3" s="282" t="s">
        <v>131</v>
      </c>
      <c r="AP3" s="828"/>
      <c r="AQ3" s="239"/>
    </row>
    <row r="4" spans="1:43" ht="153" x14ac:dyDescent="0.2">
      <c r="A4" s="404">
        <v>1</v>
      </c>
      <c r="B4" s="405" t="s">
        <v>1231</v>
      </c>
      <c r="C4" s="406" t="s">
        <v>756</v>
      </c>
      <c r="D4" s="406">
        <f>IFERROR(INDEX('[3]Base de datos gestión'!$D$28:$D$50,MATCH(C4,'[3]Base de datos gestión'!$C$28:$C$50,0)), 0)</f>
        <v>0</v>
      </c>
      <c r="E4" s="407" t="str">
        <f>IFERROR(INDEX('[3]Base de datos gestión'!$E$28:$E$50,MATCH(C4,'[3]Base de datos gestión'!$C$28:$C$50,0)), 0)</f>
        <v>Inicia desde la desagregación del presupuesto de gastos e ingresos y termina con la gestión del pago y el registro de las operaciones.</v>
      </c>
      <c r="F4" s="408" t="s">
        <v>1232</v>
      </c>
      <c r="G4" s="408" t="s">
        <v>1232</v>
      </c>
      <c r="H4" s="406" t="s">
        <v>445</v>
      </c>
      <c r="I4" s="406" t="s">
        <v>1233</v>
      </c>
      <c r="J4" s="406" t="s">
        <v>1234</v>
      </c>
      <c r="K4" s="406" t="s">
        <v>1235</v>
      </c>
      <c r="L4" s="406" t="s">
        <v>1236</v>
      </c>
      <c r="M4" s="406" t="s">
        <v>1237</v>
      </c>
      <c r="N4" s="404">
        <v>1500</v>
      </c>
      <c r="O4" s="240" t="str">
        <f>IF(N4&lt;=0,"",IF(N4&lt;=2,"Muy Baja",IF(N4&lt;=24,"Baja",IF(N4&lt;=500,"Media",IF(N4&lt;=5000,"Alta","Muy Alta")))))</f>
        <v>Alta</v>
      </c>
      <c r="P4" s="241">
        <f>IF(O4="","",IF(O4="Muy Baja",0.2,IF(O4="Baja",0.4,IF(O4="Media",0.6,IF(O4="Alta",0.8,IF(O4="Muy Alta",1,))))))</f>
        <v>0.8</v>
      </c>
      <c r="Q4" s="241" t="s">
        <v>610</v>
      </c>
      <c r="R4" s="241" t="str">
        <f>IF(NOT(ISERROR(MATCH(Q4,'[3]Tabla Impacto'!$B$222:$B$224,0))),'[3]Tabla Impacto'!$F$224&amp;"Por favor no seleccionar los criterios de impacto(Afectación Económica o presupuestal y Pérdida Reputacional)",Q4)</f>
        <v xml:space="preserve">     Entre 50 y 100 SMLMV </v>
      </c>
      <c r="S4" s="240" t="str">
        <f>IF(OR(R4='[3]Tabla Impacto'!$C$12,R4='[3]Tabla Impacto'!$D$12),"Leve",IF(OR(R4='[3]Tabla Impacto'!$C$13,R4='[3]Tabla Impacto'!$D$13),"Menor",IF(OR(R4='[3]Tabla Impacto'!$C$14,R4='[3]Tabla Impacto'!$D$14),"Moderado",IF(OR(R4='[3]Tabla Impacto'!$C$15,R4='[3]Tabla Impacto'!$D$15),"Mayor",IF(OR(R4='[3]Tabla Impacto'!$C$16,R4='[3]Tabla Impacto'!$D$16),"Catastrófico","")))))</f>
        <v>Moderado</v>
      </c>
      <c r="T4" s="241">
        <f>IF(S4="","",IF(S4="Leve",0.2,IF(S4="Menor",0.4,IF(S4="Moderado",0.6,IF(S4="Mayor",0.8,IF(S4="Catastrófico",1,))))))</f>
        <v>0.6</v>
      </c>
      <c r="U4" s="243" t="str">
        <f>IF(OR(AND(O4="Muy Baja",S4="Leve"),AND(O4="Muy Baja",S4="Menor"),AND(O4="Baja",S4="Leve")),"Bajo",IF(OR(AND(O4="Muy baja",S4="Moderado"),AND(O4="Baja",S4="Menor"),AND(O4="Baja",S4="Moderado"),AND(O4="Media",S4="Leve"),AND(O4="Media",S4="Menor"),AND(O4="Media",S4="Moderado"),AND(O4="Alta",S4="Leve"),AND(O4="Alta",S4="Menor")),"Moderado",IF(OR(AND(O4="Muy Baja",S4="Mayor"),AND(O4="Baja",S4="Mayor"),AND(O4="Media",S4="Mayor"),AND(O4="Alta",S4="Moderado"),AND(O4="Alta",S4="Mayor"),AND(O4="Muy Alta",S4="Leve"),AND(O4="Muy Alta",S4="Menor"),AND(O4="Muy Alta",S4="Moderado"),AND(O4="Muy Alta",S4="Mayor")),"Alto",IF(OR(AND(O4="Muy Baja",S4="Catastrófico"),AND(O4="Baja",S4="Catastrófico"),AND(O4="Media",S4="Catastrófico"),AND(O4="Alta",S4="Catastrófico"),AND(O4="Muy Alta",S4="Catastrófico")),"Extremo",""))))</f>
        <v>Alto</v>
      </c>
      <c r="V4" s="244">
        <v>1</v>
      </c>
      <c r="W4" s="409" t="s">
        <v>1238</v>
      </c>
      <c r="X4" s="244" t="str">
        <f t="shared" ref="X4:X18" si="0">IF(OR(Y4="Preventivo",Y4="Detectivo"),"Probabilidad",IF(Y4="Correctivo","Impacto",""))</f>
        <v>Probabilidad</v>
      </c>
      <c r="Y4" s="410" t="s">
        <v>187</v>
      </c>
      <c r="Z4" s="410" t="s">
        <v>188</v>
      </c>
      <c r="AA4" s="246" t="str">
        <f t="shared" ref="AA4:AA18" si="1">IF(AND(Y4="Preventivo",Z4="Automático"),"50%",IF(AND(Y4="Preventivo",Z4="Manual"),"40%",IF(AND(Y4="Detectivo",Z4="Automático"),"40%",IF(AND(Y4="Detectivo",Z4="Manual"),"30%",IF(AND(Y4="Correctivo",Z4="Automático"),"35%",IF(AND(Y4="Correctivo",Z4="Manual"),"25%",""))))))</f>
        <v>40%</v>
      </c>
      <c r="AB4" s="410" t="s">
        <v>222</v>
      </c>
      <c r="AC4" s="410" t="s">
        <v>190</v>
      </c>
      <c r="AD4" s="410" t="s">
        <v>191</v>
      </c>
      <c r="AE4" s="411">
        <f>IFERROR(IF(X4="Probabilidad",(P4-(+P4*AA4)),IF(X4="Impacto",P4,"")),"")</f>
        <v>0.48</v>
      </c>
      <c r="AF4" s="248" t="str">
        <f t="shared" ref="AF4:AF18" si="2">IFERROR(IF(AE4="","",IF(AE4&lt;=0.2,"Muy Baja",IF(AE4&lt;=0.4,"Baja",IF(AE4&lt;=0.6,"Media",IF(AE4&lt;=0.8,"Alta","Muy Alta"))))),"")</f>
        <v>Media</v>
      </c>
      <c r="AG4" s="249">
        <f t="shared" ref="AG4:AG18" si="3">+AE4</f>
        <v>0.48</v>
      </c>
      <c r="AH4" s="248" t="str">
        <f t="shared" ref="AH4:AH18" si="4">IFERROR(IF(AI4="","",IF(AI4&lt;=0.2,"Leve",IF(AI4&lt;=0.4,"Menor",IF(AI4&lt;=0.6,"Moderado",IF(AI4&lt;=0.8,"Mayor","Catastrófico"))))),"")</f>
        <v>Moderado</v>
      </c>
      <c r="AI4" s="249">
        <f>IFERROR(IF(X4="Impacto",(T4-(+T4*AA4)),IF(X4="Probabilidad",T4,"")),"")</f>
        <v>0.6</v>
      </c>
      <c r="AJ4" s="250" t="str">
        <f t="shared" ref="AJ4:AJ18" si="5">IFERROR(IF(OR(AND(AF4="Muy Baja",AH4="Leve"),AND(AF4="Muy Baja",AH4="Menor"),AND(AF4="Baja",AH4="Leve")),"Bajo",IF(OR(AND(AF4="Muy baja",AH4="Moderado"),AND(AF4="Baja",AH4="Menor"),AND(AF4="Baja",AH4="Moderado"),AND(AF4="Media",AH4="Leve"),AND(AF4="Media",AH4="Menor"),AND(AF4="Media",AH4="Moderado"),AND(AF4="Alta",AH4="Leve"),AND(AF4="Alta",AH4="Menor")),"Moderado",IF(OR(AND(AF4="Muy Baja",AH4="Mayor"),AND(AF4="Baja",AH4="Mayor"),AND(AF4="Media",AH4="Mayor"),AND(AF4="Alta",AH4="Moderado"),AND(AF4="Alta",AH4="Mayor"),AND(AF4="Muy Alta",AH4="Leve"),AND(AF4="Muy Alta",AH4="Menor"),AND(AF4="Muy Alta",AH4="Moderado"),AND(AF4="Muy Alta",AH4="Mayor")),"Alto",IF(OR(AND(AF4="Muy Baja",AH4="Catastrófico"),AND(AF4="Baja",AH4="Catastrófico"),AND(AF4="Media",AH4="Catastrófico"),AND(AF4="Alta",AH4="Catastrófico"),AND(AF4="Muy Alta",AH4="Catastrófico")),"Extremo","")))),"")</f>
        <v>Moderado</v>
      </c>
      <c r="AK4" s="412" t="s">
        <v>192</v>
      </c>
      <c r="AL4" s="413" t="s">
        <v>1239</v>
      </c>
      <c r="AM4" s="413" t="s">
        <v>1240</v>
      </c>
      <c r="AN4" s="414">
        <v>45838</v>
      </c>
      <c r="AO4" s="413" t="s">
        <v>1241</v>
      </c>
      <c r="AP4" s="413"/>
      <c r="AQ4" s="415"/>
    </row>
    <row r="5" spans="1:43" ht="195" customHeight="1" x14ac:dyDescent="0.3">
      <c r="A5" s="404">
        <v>1</v>
      </c>
      <c r="B5" s="405" t="s">
        <v>1231</v>
      </c>
      <c r="C5" s="406" t="s">
        <v>756</v>
      </c>
      <c r="D5" s="406">
        <f>IFERROR(INDEX('[3]Base de datos gestión'!$D$28:$D$50,MATCH(C5,'[3]Base de datos gestión'!$C$28:$C$50,0)), 0)</f>
        <v>0</v>
      </c>
      <c r="E5" s="407" t="str">
        <f>IFERROR(INDEX('[3]Base de datos gestión'!$E$28:$E$50,MATCH(C5,'[3]Base de datos gestión'!$C$28:$C$50,0)), 0)</f>
        <v>Inicia desde la desagregación del presupuesto de gastos e ingresos y termina con la gestión del pago y el registro de las operaciones.</v>
      </c>
      <c r="F5" s="408" t="s">
        <v>1232</v>
      </c>
      <c r="G5" s="408" t="s">
        <v>1232</v>
      </c>
      <c r="H5" s="406" t="s">
        <v>445</v>
      </c>
      <c r="I5" s="406" t="s">
        <v>1233</v>
      </c>
      <c r="J5" s="406" t="s">
        <v>1234</v>
      </c>
      <c r="K5" s="406" t="s">
        <v>1235</v>
      </c>
      <c r="L5" s="406" t="s">
        <v>1236</v>
      </c>
      <c r="M5" s="406" t="s">
        <v>1237</v>
      </c>
      <c r="N5" s="404">
        <v>1500</v>
      </c>
      <c r="O5" s="240" t="str">
        <f>IF(N5&lt;=0,"",IF(N5&lt;=2,"Muy Baja",IF(N5&lt;=24,"Baja",IF(N5&lt;=500,"Media",IF(N5&lt;=5000,"Alta","Muy Alta")))))</f>
        <v>Alta</v>
      </c>
      <c r="P5" s="241">
        <f>IF(O5="","",IF(O5="Muy Baja",0.2,IF(O5="Baja",0.4,IF(O5="Media",0.6,IF(O5="Alta",0.8,IF(O5="Muy Alta",1,))))))</f>
        <v>0.8</v>
      </c>
      <c r="Q5" s="241" t="s">
        <v>610</v>
      </c>
      <c r="R5" s="241" t="str">
        <f>IF(NOT(ISERROR(MATCH(Q5,'[3]Tabla Impacto'!$B$222:$B$224,0))),'[3]Tabla Impacto'!$F$224&amp;"Por favor no seleccionar los criterios de impacto(Afectación Económica o presupuestal y Pérdida Reputacional)",Q5)</f>
        <v xml:space="preserve">     Entre 50 y 100 SMLMV </v>
      </c>
      <c r="S5" s="240" t="str">
        <f>IF(OR(R5='[3]Tabla Impacto'!$C$12,R5='[3]Tabla Impacto'!$D$12),"Leve",IF(OR(R5='[3]Tabla Impacto'!$C$13,R5='[3]Tabla Impacto'!$D$13),"Menor",IF(OR(R5='[3]Tabla Impacto'!$C$14,R5='[3]Tabla Impacto'!$D$14),"Moderado",IF(OR(R5='[3]Tabla Impacto'!$C$15,R5='[3]Tabla Impacto'!$D$15),"Mayor",IF(OR(R5='[3]Tabla Impacto'!$C$16,R5='[3]Tabla Impacto'!$D$16),"Catastrófico","")))))</f>
        <v>Moderado</v>
      </c>
      <c r="T5" s="241">
        <f>IF(S5="","",IF(S5="Leve",0.2,IF(S5="Menor",0.4,IF(S5="Moderado",0.6,IF(S5="Mayor",0.8,IF(S5="Catastrófico",1,))))))</f>
        <v>0.6</v>
      </c>
      <c r="U5" s="243" t="str">
        <f>IF(OR(AND(O5="Muy Baja",S5="Leve"),AND(O5="Muy Baja",S5="Menor"),AND(O5="Baja",S5="Leve")),"Bajo",IF(OR(AND(O5="Muy baja",S5="Moderado"),AND(O5="Baja",S5="Menor"),AND(O5="Baja",S5="Moderado"),AND(O5="Media",S5="Leve"),AND(O5="Media",S5="Menor"),AND(O5="Media",S5="Moderado"),AND(O5="Alta",S5="Leve"),AND(O5="Alta",S5="Menor")),"Moderado",IF(OR(AND(O5="Muy Baja",S5="Mayor"),AND(O5="Baja",S5="Mayor"),AND(O5="Media",S5="Mayor"),AND(O5="Alta",S5="Moderado"),AND(O5="Alta",S5="Mayor"),AND(O5="Muy Alta",S5="Leve"),AND(O5="Muy Alta",S5="Menor"),AND(O5="Muy Alta",S5="Moderado"),AND(O5="Muy Alta",S5="Mayor")),"Alto",IF(OR(AND(O5="Muy Baja",S5="Catastrófico"),AND(O5="Baja",S5="Catastrófico"),AND(O5="Media",S5="Catastrófico"),AND(O5="Alta",S5="Catastrófico"),AND(O5="Muy Alta",S5="Catastrófico")),"Extremo",""))))</f>
        <v>Alto</v>
      </c>
      <c r="V5" s="244">
        <v>2</v>
      </c>
      <c r="W5" s="409" t="s">
        <v>1243</v>
      </c>
      <c r="X5" s="244" t="str">
        <f t="shared" si="0"/>
        <v>Probabilidad</v>
      </c>
      <c r="Y5" s="410" t="s">
        <v>187</v>
      </c>
      <c r="Z5" s="410" t="s">
        <v>188</v>
      </c>
      <c r="AA5" s="246" t="str">
        <f t="shared" si="1"/>
        <v>40%</v>
      </c>
      <c r="AB5" s="410" t="s">
        <v>222</v>
      </c>
      <c r="AC5" s="410" t="s">
        <v>190</v>
      </c>
      <c r="AD5" s="410" t="s">
        <v>191</v>
      </c>
      <c r="AE5" s="411">
        <f>IFERROR(IF(AND(X4="Probabilidad",X5="Probabilidad"),(AG4-(+AG4*AA5)),IF(X5="Probabilidad",(P4-(+P4*AA5)),IF(X5="Impacto",AG4,""))),"")</f>
        <v>0.28799999999999998</v>
      </c>
      <c r="AF5" s="248" t="str">
        <f t="shared" si="2"/>
        <v>Baja</v>
      </c>
      <c r="AG5" s="249">
        <f t="shared" si="3"/>
        <v>0.28799999999999998</v>
      </c>
      <c r="AH5" s="248" t="str">
        <f t="shared" si="4"/>
        <v>Moderado</v>
      </c>
      <c r="AI5" s="249">
        <f>IFERROR(IF(AND(X4="Impacto",X5="Impacto"),(AI4-(+AI4*AA5)),IF(X5="Impacto",($T$4-(+$T$4*AA5)),IF(X5="Probabilidad",AI4,""))),"")</f>
        <v>0.6</v>
      </c>
      <c r="AJ5" s="250" t="str">
        <f t="shared" si="5"/>
        <v>Moderado</v>
      </c>
      <c r="AK5" s="412" t="s">
        <v>192</v>
      </c>
      <c r="AL5" s="413" t="s">
        <v>1244</v>
      </c>
      <c r="AM5" s="413" t="s">
        <v>1240</v>
      </c>
      <c r="AN5" s="414">
        <v>45838</v>
      </c>
      <c r="AO5" s="413" t="s">
        <v>1241</v>
      </c>
      <c r="AP5" s="413"/>
      <c r="AQ5" s="237"/>
    </row>
    <row r="6" spans="1:43" ht="261.75" customHeight="1" x14ac:dyDescent="0.3">
      <c r="A6" s="404">
        <v>1</v>
      </c>
      <c r="B6" s="405" t="s">
        <v>1231</v>
      </c>
      <c r="C6" s="406" t="s">
        <v>756</v>
      </c>
      <c r="D6" s="406">
        <f>IFERROR(INDEX('[3]Base de datos gestión'!$D$28:$D$50,MATCH(C6,'[3]Base de datos gestión'!$C$28:$C$50,0)), 0)</f>
        <v>0</v>
      </c>
      <c r="E6" s="407" t="str">
        <f>IFERROR(INDEX('[3]Base de datos gestión'!$E$28:$E$50,MATCH(C6,'[3]Base de datos gestión'!$C$28:$C$50,0)), 0)</f>
        <v>Inicia desde la desagregación del presupuesto de gastos e ingresos y termina con la gestión del pago y el registro de las operaciones.</v>
      </c>
      <c r="F6" s="408" t="s">
        <v>1232</v>
      </c>
      <c r="G6" s="408" t="s">
        <v>1232</v>
      </c>
      <c r="H6" s="406" t="s">
        <v>445</v>
      </c>
      <c r="I6" s="406" t="s">
        <v>1233</v>
      </c>
      <c r="J6" s="406" t="s">
        <v>1234</v>
      </c>
      <c r="K6" s="406" t="s">
        <v>1235</v>
      </c>
      <c r="L6" s="406" t="s">
        <v>1236</v>
      </c>
      <c r="M6" s="406" t="s">
        <v>1237</v>
      </c>
      <c r="N6" s="404">
        <v>1500</v>
      </c>
      <c r="O6" s="240" t="str">
        <f t="shared" ref="O6:O9" si="6">IF(N6&lt;=0,"",IF(N6&lt;=2,"Muy Baja",IF(N6&lt;=24,"Baja",IF(N6&lt;=500,"Media",IF(N6&lt;=5000,"Alta","Muy Alta")))))</f>
        <v>Alta</v>
      </c>
      <c r="P6" s="241">
        <f t="shared" ref="P6:P9" si="7">IF(O6="","",IF(O6="Muy Baja",0.2,IF(O6="Baja",0.4,IF(O6="Media",0.6,IF(O6="Alta",0.8,IF(O6="Muy Alta",1,))))))</f>
        <v>0.8</v>
      </c>
      <c r="Q6" s="241" t="s">
        <v>610</v>
      </c>
      <c r="R6" s="241" t="str">
        <f>IF(NOT(ISERROR(MATCH(Q6,'[3]Tabla Impacto'!$B$222:$B$224,0))),'[3]Tabla Impacto'!$F$224&amp;"Por favor no seleccionar los criterios de impacto(Afectación Económica o presupuestal y Pérdida Reputacional)",Q6)</f>
        <v xml:space="preserve">     Entre 50 y 100 SMLMV </v>
      </c>
      <c r="S6" s="240" t="str">
        <f>IF(OR(R6='[3]Tabla Impacto'!$C$12,R6='[3]Tabla Impacto'!$D$12),"Leve",IF(OR(R6='[3]Tabla Impacto'!$C$13,R6='[3]Tabla Impacto'!$D$13),"Menor",IF(OR(R6='[3]Tabla Impacto'!$C$14,R6='[3]Tabla Impacto'!$D$14),"Moderado",IF(OR(R6='[3]Tabla Impacto'!$C$15,R6='[3]Tabla Impacto'!$D$15),"Mayor",IF(OR(R6='[3]Tabla Impacto'!$C$16,R6='[3]Tabla Impacto'!$D$16),"Catastrófico","")))))</f>
        <v>Moderado</v>
      </c>
      <c r="T6" s="241">
        <f t="shared" ref="T6:T9" si="8">IF(S6="","",IF(S6="Leve",0.2,IF(S6="Menor",0.4,IF(S6="Moderado",0.6,IF(S6="Mayor",0.8,IF(S6="Catastrófico",1,))))))</f>
        <v>0.6</v>
      </c>
      <c r="U6" s="243" t="str">
        <f t="shared" ref="U6:U9" si="9">IF(OR(AND(O6="Muy Baja",S6="Leve"),AND(O6="Muy Baja",S6="Menor"),AND(O6="Baja",S6="Leve")),"Bajo",IF(OR(AND(O6="Muy baja",S6="Moderado"),AND(O6="Baja",S6="Menor"),AND(O6="Baja",S6="Moderado"),AND(O6="Media",S6="Leve"),AND(O6="Media",S6="Menor"),AND(O6="Media",S6="Moderado"),AND(O6="Alta",S6="Leve"),AND(O6="Alta",S6="Menor")),"Moderado",IF(OR(AND(O6="Muy Baja",S6="Mayor"),AND(O6="Baja",S6="Mayor"),AND(O6="Media",S6="Mayor"),AND(O6="Alta",S6="Moderado"),AND(O6="Alta",S6="Mayor"),AND(O6="Muy Alta",S6="Leve"),AND(O6="Muy Alta",S6="Menor"),AND(O6="Muy Alta",S6="Moderado"),AND(O6="Muy Alta",S6="Mayor")),"Alto",IF(OR(AND(O6="Muy Baja",S6="Catastrófico"),AND(O6="Baja",S6="Catastrófico"),AND(O6="Media",S6="Catastrófico"),AND(O6="Alta",S6="Catastrófico"),AND(O6="Muy Alta",S6="Catastrófico")),"Extremo",""))))</f>
        <v>Alto</v>
      </c>
      <c r="V6" s="244">
        <v>3</v>
      </c>
      <c r="W6" s="409" t="s">
        <v>1245</v>
      </c>
      <c r="X6" s="244" t="str">
        <f t="shared" si="0"/>
        <v>Probabilidad</v>
      </c>
      <c r="Y6" s="410" t="s">
        <v>187</v>
      </c>
      <c r="Z6" s="410" t="s">
        <v>188</v>
      </c>
      <c r="AA6" s="246" t="str">
        <f t="shared" si="1"/>
        <v>40%</v>
      </c>
      <c r="AB6" s="410" t="s">
        <v>222</v>
      </c>
      <c r="AC6" s="410" t="s">
        <v>190</v>
      </c>
      <c r="AD6" s="410" t="s">
        <v>191</v>
      </c>
      <c r="AE6" s="411">
        <f>IFERROR(IF(AND(X5="Probabilidad",X6="Probabilidad"),(AG5-(+AG5*AA6)),IF(AND(X5="Impacto",X6="Probabilidad"),(AG4-(+AG4*AA6)),IF(X6="Impacto",AG5,""))),"")</f>
        <v>0.17279999999999998</v>
      </c>
      <c r="AF6" s="248" t="str">
        <f t="shared" si="2"/>
        <v>Muy Baja</v>
      </c>
      <c r="AG6" s="249">
        <f t="shared" si="3"/>
        <v>0.17279999999999998</v>
      </c>
      <c r="AH6" s="248" t="str">
        <f t="shared" si="4"/>
        <v>Moderado</v>
      </c>
      <c r="AI6" s="249">
        <f>IFERROR(IF(AND(X5="Impacto",X6="Impacto"),(AI5-(+AI5*AA6)),IF(AND(X5="Probabilidad",X6="Impacto"),(AI4-(+AI4*AA6)),IF(X6="Probabilidad",AI5,""))),"")</f>
        <v>0.6</v>
      </c>
      <c r="AJ6" s="250" t="str">
        <f t="shared" si="5"/>
        <v>Moderado</v>
      </c>
      <c r="AK6" s="412" t="s">
        <v>192</v>
      </c>
      <c r="AL6" s="413" t="s">
        <v>1246</v>
      </c>
      <c r="AM6" s="413" t="s">
        <v>1247</v>
      </c>
      <c r="AN6" s="414">
        <v>45657</v>
      </c>
      <c r="AO6" s="413" t="s">
        <v>1248</v>
      </c>
      <c r="AP6" s="413"/>
      <c r="AQ6" s="237"/>
    </row>
    <row r="7" spans="1:43" ht="265.5" customHeight="1" x14ac:dyDescent="0.3">
      <c r="A7" s="404">
        <v>1</v>
      </c>
      <c r="B7" s="405" t="s">
        <v>1231</v>
      </c>
      <c r="C7" s="406" t="s">
        <v>756</v>
      </c>
      <c r="D7" s="406">
        <f>IFERROR(INDEX('[3]Base de datos gestión'!$D$28:$D$50,MATCH(C7,'[3]Base de datos gestión'!$C$28:$C$50,0)), 0)</f>
        <v>0</v>
      </c>
      <c r="E7" s="407" t="str">
        <f>IFERROR(INDEX('[3]Base de datos gestión'!$E$28:$E$50,MATCH(C7,'[3]Base de datos gestión'!$C$28:$C$50,0)), 0)</f>
        <v>Inicia desde la desagregación del presupuesto de gastos e ingresos y termina con la gestión del pago y el registro de las operaciones.</v>
      </c>
      <c r="F7" s="408" t="s">
        <v>1232</v>
      </c>
      <c r="G7" s="408" t="s">
        <v>1232</v>
      </c>
      <c r="H7" s="406" t="s">
        <v>445</v>
      </c>
      <c r="I7" s="406" t="s">
        <v>1233</v>
      </c>
      <c r="J7" s="406" t="s">
        <v>1234</v>
      </c>
      <c r="K7" s="406" t="s">
        <v>1235</v>
      </c>
      <c r="L7" s="406" t="s">
        <v>1236</v>
      </c>
      <c r="M7" s="406" t="s">
        <v>1237</v>
      </c>
      <c r="N7" s="404">
        <v>1500</v>
      </c>
      <c r="O7" s="240" t="str">
        <f t="shared" si="6"/>
        <v>Alta</v>
      </c>
      <c r="P7" s="241">
        <f t="shared" si="7"/>
        <v>0.8</v>
      </c>
      <c r="Q7" s="241" t="s">
        <v>610</v>
      </c>
      <c r="R7" s="241" t="str">
        <f>IF(NOT(ISERROR(MATCH(Q7,'[3]Tabla Impacto'!$B$222:$B$224,0))),'[3]Tabla Impacto'!$F$224&amp;"Por favor no seleccionar los criterios de impacto(Afectación Económica o presupuestal y Pérdida Reputacional)",Q7)</f>
        <v xml:space="preserve">     Entre 50 y 100 SMLMV </v>
      </c>
      <c r="S7" s="240" t="str">
        <f>IF(OR(R7='[3]Tabla Impacto'!$C$12,R7='[3]Tabla Impacto'!$D$12),"Leve",IF(OR(R7='[3]Tabla Impacto'!$C$13,R7='[3]Tabla Impacto'!$D$13),"Menor",IF(OR(R7='[3]Tabla Impacto'!$C$14,R7='[3]Tabla Impacto'!$D$14),"Moderado",IF(OR(R7='[3]Tabla Impacto'!$C$15,R7='[3]Tabla Impacto'!$D$15),"Mayor",IF(OR(R7='[3]Tabla Impacto'!$C$16,R7='[3]Tabla Impacto'!$D$16),"Catastrófico","")))))</f>
        <v>Moderado</v>
      </c>
      <c r="T7" s="241">
        <f t="shared" si="8"/>
        <v>0.6</v>
      </c>
      <c r="U7" s="243" t="str">
        <f t="shared" si="9"/>
        <v>Alto</v>
      </c>
      <c r="V7" s="244">
        <v>4</v>
      </c>
      <c r="W7" s="409" t="s">
        <v>1249</v>
      </c>
      <c r="X7" s="244" t="str">
        <f t="shared" si="0"/>
        <v>Probabilidad</v>
      </c>
      <c r="Y7" s="410" t="s">
        <v>187</v>
      </c>
      <c r="Z7" s="410" t="s">
        <v>188</v>
      </c>
      <c r="AA7" s="246" t="str">
        <f t="shared" si="1"/>
        <v>40%</v>
      </c>
      <c r="AB7" s="410" t="s">
        <v>222</v>
      </c>
      <c r="AC7" s="410" t="s">
        <v>190</v>
      </c>
      <c r="AD7" s="410" t="s">
        <v>191</v>
      </c>
      <c r="AE7" s="411">
        <f>IFERROR(IF(AND(X6="Probabilidad",X7="Probabilidad"),(AG6-(+AG6*AA7)),IF(AND(X6="Impacto",X7="Probabilidad"),(AG5-(+AG5*AA7)),IF(X7="Impacto",AG6,""))),"")</f>
        <v>0.10367999999999998</v>
      </c>
      <c r="AF7" s="248" t="str">
        <f t="shared" si="2"/>
        <v>Muy Baja</v>
      </c>
      <c r="AG7" s="249">
        <f t="shared" si="3"/>
        <v>0.10367999999999998</v>
      </c>
      <c r="AH7" s="248" t="str">
        <f t="shared" si="4"/>
        <v>Moderado</v>
      </c>
      <c r="AI7" s="249">
        <f>IFERROR(IF(AND(X6="Impacto",X7="Impacto"),(AI6-(+AI6*AA7)),IF(AND(X6="Probabilidad",X7="Impacto"),(AI5-(+AI5*AA7)),IF(X7="Probabilidad",AI6,""))),"")</f>
        <v>0.6</v>
      </c>
      <c r="AJ7" s="250" t="str">
        <f t="shared" si="5"/>
        <v>Moderado</v>
      </c>
      <c r="AK7" s="412" t="s">
        <v>192</v>
      </c>
      <c r="AL7" s="413" t="s">
        <v>1250</v>
      </c>
      <c r="AM7" s="413" t="s">
        <v>1247</v>
      </c>
      <c r="AN7" s="414">
        <v>45657</v>
      </c>
      <c r="AO7" s="413" t="s">
        <v>1248</v>
      </c>
      <c r="AP7" s="413"/>
      <c r="AQ7" s="237"/>
    </row>
    <row r="8" spans="1:43" ht="318" customHeight="1" x14ac:dyDescent="0.3">
      <c r="A8" s="404">
        <v>1</v>
      </c>
      <c r="B8" s="405" t="s">
        <v>1231</v>
      </c>
      <c r="C8" s="406" t="s">
        <v>756</v>
      </c>
      <c r="D8" s="406">
        <f>IFERROR(INDEX('[3]Base de datos gestión'!$D$28:$D$50,MATCH(C8,'[3]Base de datos gestión'!$C$28:$C$50,0)), 0)</f>
        <v>0</v>
      </c>
      <c r="E8" s="407" t="str">
        <f>IFERROR(INDEX('[3]Base de datos gestión'!$E$28:$E$50,MATCH(C8,'[3]Base de datos gestión'!$C$28:$C$50,0)), 0)</f>
        <v>Inicia desde la desagregación del presupuesto de gastos e ingresos y termina con la gestión del pago y el registro de las operaciones.</v>
      </c>
      <c r="F8" s="408" t="s">
        <v>1232</v>
      </c>
      <c r="G8" s="408" t="s">
        <v>1232</v>
      </c>
      <c r="H8" s="406" t="s">
        <v>445</v>
      </c>
      <c r="I8" s="406" t="s">
        <v>1233</v>
      </c>
      <c r="J8" s="406" t="s">
        <v>1234</v>
      </c>
      <c r="K8" s="406" t="s">
        <v>1235</v>
      </c>
      <c r="L8" s="406" t="s">
        <v>1236</v>
      </c>
      <c r="M8" s="406" t="s">
        <v>1237</v>
      </c>
      <c r="N8" s="404">
        <v>1500</v>
      </c>
      <c r="O8" s="240" t="str">
        <f t="shared" si="6"/>
        <v>Alta</v>
      </c>
      <c r="P8" s="241">
        <f t="shared" si="7"/>
        <v>0.8</v>
      </c>
      <c r="Q8" s="241" t="s">
        <v>610</v>
      </c>
      <c r="R8" s="241" t="str">
        <f>IF(NOT(ISERROR(MATCH(Q8,'[3]Tabla Impacto'!$B$222:$B$224,0))),'[3]Tabla Impacto'!$F$224&amp;"Por favor no seleccionar los criterios de impacto(Afectación Económica o presupuestal y Pérdida Reputacional)",Q8)</f>
        <v xml:space="preserve">     Entre 50 y 100 SMLMV </v>
      </c>
      <c r="S8" s="240" t="str">
        <f>IF(OR(R8='[3]Tabla Impacto'!$C$12,R8='[3]Tabla Impacto'!$D$12),"Leve",IF(OR(R8='[3]Tabla Impacto'!$C$13,R8='[3]Tabla Impacto'!$D$13),"Menor",IF(OR(R8='[3]Tabla Impacto'!$C$14,R8='[3]Tabla Impacto'!$D$14),"Moderado",IF(OR(R8='[3]Tabla Impacto'!$C$15,R8='[3]Tabla Impacto'!$D$15),"Mayor",IF(OR(R8='[3]Tabla Impacto'!$C$16,R8='[3]Tabla Impacto'!$D$16),"Catastrófico","")))))</f>
        <v>Moderado</v>
      </c>
      <c r="T8" s="241">
        <f t="shared" si="8"/>
        <v>0.6</v>
      </c>
      <c r="U8" s="243" t="str">
        <f t="shared" si="9"/>
        <v>Alto</v>
      </c>
      <c r="V8" s="244">
        <v>5</v>
      </c>
      <c r="W8" s="409" t="s">
        <v>1251</v>
      </c>
      <c r="X8" s="244" t="str">
        <f t="shared" si="0"/>
        <v>Probabilidad</v>
      </c>
      <c r="Y8" s="410" t="s">
        <v>187</v>
      </c>
      <c r="Z8" s="410" t="s">
        <v>188</v>
      </c>
      <c r="AA8" s="246" t="str">
        <f t="shared" si="1"/>
        <v>40%</v>
      </c>
      <c r="AB8" s="410" t="s">
        <v>222</v>
      </c>
      <c r="AC8" s="410" t="s">
        <v>190</v>
      </c>
      <c r="AD8" s="410" t="s">
        <v>191</v>
      </c>
      <c r="AE8" s="411">
        <f>IFERROR(IF(AND(X7="Probabilidad",X8="Probabilidad"),(AG7-(+AG7*AA8)),IF(AND(X7="Impacto",X8="Probabilidad"),(AG6-(+AG6*AA8)),IF(X8="Impacto",AG7,""))),"")</f>
        <v>6.2207999999999986E-2</v>
      </c>
      <c r="AF8" s="248" t="str">
        <f t="shared" si="2"/>
        <v>Muy Baja</v>
      </c>
      <c r="AG8" s="249">
        <f t="shared" si="3"/>
        <v>6.2207999999999986E-2</v>
      </c>
      <c r="AH8" s="248" t="str">
        <f t="shared" si="4"/>
        <v>Moderado</v>
      </c>
      <c r="AI8" s="249">
        <f>IFERROR(IF(AND(X7="Impacto",X8="Impacto"),(AI7-(+AI7*AA8)),IF(AND(X7="Probabilidad",X8="Impacto"),(AI6-(+AI6*AA8)),IF(X8="Probabilidad",AI7,""))),"")</f>
        <v>0.6</v>
      </c>
      <c r="AJ8" s="250" t="str">
        <f t="shared" si="5"/>
        <v>Moderado</v>
      </c>
      <c r="AK8" s="412" t="s">
        <v>192</v>
      </c>
      <c r="AL8" s="413"/>
      <c r="AM8" s="413"/>
      <c r="AN8" s="414"/>
      <c r="AO8" s="413" t="s">
        <v>1248</v>
      </c>
      <c r="AP8" s="413"/>
      <c r="AQ8" s="237"/>
    </row>
    <row r="9" spans="1:43" ht="210" customHeight="1" x14ac:dyDescent="0.3">
      <c r="A9" s="404">
        <v>1</v>
      </c>
      <c r="B9" s="405" t="s">
        <v>1231</v>
      </c>
      <c r="C9" s="406" t="s">
        <v>756</v>
      </c>
      <c r="D9" s="406">
        <f>IFERROR(INDEX('[3]Base de datos gestión'!$D$28:$D$50,MATCH(C9,'[3]Base de datos gestión'!$C$28:$C$50,0)), 0)</f>
        <v>0</v>
      </c>
      <c r="E9" s="407" t="str">
        <f>IFERROR(INDEX('[3]Base de datos gestión'!$E$28:$E$50,MATCH(C9,'[3]Base de datos gestión'!$C$28:$C$50,0)), 0)</f>
        <v>Inicia desde la desagregación del presupuesto de gastos e ingresos y termina con la gestión del pago y el registro de las operaciones.</v>
      </c>
      <c r="F9" s="408" t="s">
        <v>1232</v>
      </c>
      <c r="G9" s="408" t="s">
        <v>1232</v>
      </c>
      <c r="H9" s="406" t="s">
        <v>445</v>
      </c>
      <c r="I9" s="406" t="s">
        <v>1233</v>
      </c>
      <c r="J9" s="406" t="s">
        <v>1234</v>
      </c>
      <c r="K9" s="406" t="s">
        <v>1235</v>
      </c>
      <c r="L9" s="406" t="s">
        <v>1236</v>
      </c>
      <c r="M9" s="406" t="s">
        <v>1237</v>
      </c>
      <c r="N9" s="404">
        <v>1500</v>
      </c>
      <c r="O9" s="240" t="str">
        <f t="shared" si="6"/>
        <v>Alta</v>
      </c>
      <c r="P9" s="241">
        <f t="shared" si="7"/>
        <v>0.8</v>
      </c>
      <c r="Q9" s="241" t="s">
        <v>610</v>
      </c>
      <c r="R9" s="241" t="str">
        <f>IF(NOT(ISERROR(MATCH(Q9,'[3]Tabla Impacto'!$B$222:$B$224,0))),'[3]Tabla Impacto'!$F$224&amp;"Por favor no seleccionar los criterios de impacto(Afectación Económica o presupuestal y Pérdida Reputacional)",Q9)</f>
        <v xml:space="preserve">     Entre 50 y 100 SMLMV </v>
      </c>
      <c r="S9" s="240" t="str">
        <f>IF(OR(R9='[3]Tabla Impacto'!$C$12,R9='[3]Tabla Impacto'!$D$12),"Leve",IF(OR(R9='[3]Tabla Impacto'!$C$13,R9='[3]Tabla Impacto'!$D$13),"Menor",IF(OR(R9='[3]Tabla Impacto'!$C$14,R9='[3]Tabla Impacto'!$D$14),"Moderado",IF(OR(R9='[3]Tabla Impacto'!$C$15,R9='[3]Tabla Impacto'!$D$15),"Mayor",IF(OR(R9='[3]Tabla Impacto'!$C$16,R9='[3]Tabla Impacto'!$D$16),"Catastrófico","")))))</f>
        <v>Moderado</v>
      </c>
      <c r="T9" s="241">
        <f t="shared" si="8"/>
        <v>0.6</v>
      </c>
      <c r="U9" s="243" t="str">
        <f t="shared" si="9"/>
        <v>Alto</v>
      </c>
      <c r="V9" s="244">
        <v>6</v>
      </c>
      <c r="W9" s="409" t="s">
        <v>1252</v>
      </c>
      <c r="X9" s="244" t="str">
        <f t="shared" si="0"/>
        <v>Probabilidad</v>
      </c>
      <c r="Y9" s="410" t="s">
        <v>187</v>
      </c>
      <c r="Z9" s="410" t="s">
        <v>188</v>
      </c>
      <c r="AA9" s="246" t="str">
        <f t="shared" si="1"/>
        <v>40%</v>
      </c>
      <c r="AB9" s="410" t="s">
        <v>222</v>
      </c>
      <c r="AC9" s="410" t="s">
        <v>190</v>
      </c>
      <c r="AD9" s="410" t="s">
        <v>191</v>
      </c>
      <c r="AE9" s="411">
        <f>IFERROR(IF(AND(X8="Probabilidad",X9="Probabilidad"),(AG8-(+AG8*AA9)),IF(AND(X8="Impacto",X9="Probabilidad"),(AG7-(+AG7*AA9)),IF(X9="Impacto",AG8,""))),"")</f>
        <v>3.7324799999999991E-2</v>
      </c>
      <c r="AF9" s="248" t="str">
        <f t="shared" si="2"/>
        <v>Muy Baja</v>
      </c>
      <c r="AG9" s="249">
        <f t="shared" si="3"/>
        <v>3.7324799999999991E-2</v>
      </c>
      <c r="AH9" s="248" t="str">
        <f t="shared" si="4"/>
        <v>Moderado</v>
      </c>
      <c r="AI9" s="249">
        <f>IFERROR(IF(AND(X8="Impacto",X9="Impacto"),(AI8-(+AI8*AA9)),IF(AND(X8="Probabilidad",X9="Impacto"),(AI7-(+AI7*AA9)),IF(X9="Probabilidad",AI8,""))),"")</f>
        <v>0.6</v>
      </c>
      <c r="AJ9" s="250" t="str">
        <f t="shared" si="5"/>
        <v>Moderado</v>
      </c>
      <c r="AK9" s="412" t="s">
        <v>192</v>
      </c>
      <c r="AL9" s="413"/>
      <c r="AM9" s="413"/>
      <c r="AN9" s="414"/>
      <c r="AO9" s="413" t="s">
        <v>1248</v>
      </c>
      <c r="AP9" s="413"/>
      <c r="AQ9" s="237"/>
    </row>
    <row r="10" spans="1:43" ht="322.5" customHeight="1" x14ac:dyDescent="0.3">
      <c r="A10" s="404">
        <v>2</v>
      </c>
      <c r="B10" s="405" t="s">
        <v>1253</v>
      </c>
      <c r="C10" s="406" t="s">
        <v>882</v>
      </c>
      <c r="D10" s="406">
        <f>IFERROR(INDEX('[3]Base de datos gestión'!$D$28:$D$50,MATCH(C10,'[3]Base de datos gestión'!$C$28:$C$50,0)), 0)</f>
        <v>0</v>
      </c>
      <c r="E10" s="406" t="str">
        <f>IFERROR(INDEX('[3]Base de datos gestión'!$E$28:$E$50,MATCH(C10,'[3]Base de datos gestión'!$C$28:$C$50,0)), 0)</f>
        <v>Inicia con la radicación de solicitud de contratación y finaliza con la terminación de la relación contractual.</v>
      </c>
      <c r="F10" s="408" t="s">
        <v>1254</v>
      </c>
      <c r="G10" s="408" t="s">
        <v>1254</v>
      </c>
      <c r="H10" s="406" t="s">
        <v>445</v>
      </c>
      <c r="I10" s="406" t="s">
        <v>1255</v>
      </c>
      <c r="J10" s="406" t="s">
        <v>1256</v>
      </c>
      <c r="K10" s="406" t="s">
        <v>1257</v>
      </c>
      <c r="L10" s="406" t="s">
        <v>1236</v>
      </c>
      <c r="M10" s="406" t="s">
        <v>1237</v>
      </c>
      <c r="N10" s="404">
        <v>170</v>
      </c>
      <c r="O10" s="240" t="str">
        <f>IF(N10&lt;=0,"",IF(N10&lt;=2,"Muy Baja",IF(N10&lt;=24,"Baja",IF(N10&lt;=500,"Media",IF(N10&lt;=5000,"Alta","Muy Alta")))))</f>
        <v>Media</v>
      </c>
      <c r="P10" s="241">
        <f>IF(O10="","",IF(O10="Muy Baja",0.2,IF(O10="Baja",0.4,IF(O10="Media",0.6,IF(O10="Alta",0.8,IF(O10="Muy Alta",1,))))))</f>
        <v>0.6</v>
      </c>
      <c r="Q10" s="241" t="s">
        <v>610</v>
      </c>
      <c r="R10" s="241" t="str">
        <f>IF(NOT(ISERROR(MATCH(Q10,'[3]Tabla Impacto'!$B$222:$B$224,0))),'[3]Tabla Impacto'!$F$224&amp;"Por favor no seleccionar los criterios de impacto(Afectación Económica o presupuestal y Pérdida Reputacional)",Q10)</f>
        <v xml:space="preserve">     Entre 50 y 100 SMLMV </v>
      </c>
      <c r="S10" s="240" t="str">
        <f>IF(OR(R10='[3]Tabla Impacto'!$C$12,R10='[3]Tabla Impacto'!$D$12),"Leve",IF(OR(R10='[3]Tabla Impacto'!$C$13,R10='[3]Tabla Impacto'!$D$13),"Menor",IF(OR(R10='[3]Tabla Impacto'!$C$14,R10='[3]Tabla Impacto'!$D$14),"Moderado",IF(OR(R10='[3]Tabla Impacto'!$C$15,R10='[3]Tabla Impacto'!$D$15),"Mayor",IF(OR(R10='[3]Tabla Impacto'!$C$16,R10='[3]Tabla Impacto'!$D$16),"Catastrófico","")))))</f>
        <v>Moderado</v>
      </c>
      <c r="T10" s="241">
        <f>IF(S10="","",IF(S10="Leve",0.2,IF(S10="Menor",0.4,IF(S10="Moderado",0.6,IF(S10="Mayor",0.8,IF(S10="Catastrófico",1,))))))</f>
        <v>0.6</v>
      </c>
      <c r="U10" s="243" t="str">
        <f>IF(OR(AND(O10="Muy Baja",S10="Leve"),AND(O10="Muy Baja",S10="Menor"),AND(O10="Baja",S10="Leve")),"Bajo",IF(OR(AND(O10="Muy baja",S10="Moderado"),AND(O10="Baja",S10="Menor"),AND(O10="Baja",S10="Moderado"),AND(O10="Media",S10="Leve"),AND(O10="Media",S10="Menor"),AND(O10="Media",S10="Moderado"),AND(O10="Alta",S10="Leve"),AND(O10="Alta",S10="Menor")),"Moderado",IF(OR(AND(O10="Muy Baja",S10="Mayor"),AND(O10="Baja",S10="Mayor"),AND(O10="Media",S10="Mayor"),AND(O10="Alta",S10="Moderado"),AND(O10="Alta",S10="Mayor"),AND(O10="Muy Alta",S10="Leve"),AND(O10="Muy Alta",S10="Menor"),AND(O10="Muy Alta",S10="Moderado"),AND(O10="Muy Alta",S10="Mayor")),"Alto",IF(OR(AND(O10="Muy Baja",S10="Catastrófico"),AND(O10="Baja",S10="Catastrófico"),AND(O10="Media",S10="Catastrófico"),AND(O10="Alta",S10="Catastrófico"),AND(O10="Muy Alta",S10="Catastrófico")),"Extremo",""))))</f>
        <v>Moderado</v>
      </c>
      <c r="V10" s="244">
        <v>1</v>
      </c>
      <c r="W10" s="409" t="s">
        <v>1258</v>
      </c>
      <c r="X10" s="244" t="str">
        <f t="shared" si="0"/>
        <v>Probabilidad</v>
      </c>
      <c r="Y10" s="410" t="s">
        <v>187</v>
      </c>
      <c r="Z10" s="410" t="s">
        <v>188</v>
      </c>
      <c r="AA10" s="246" t="str">
        <f t="shared" si="1"/>
        <v>40%</v>
      </c>
      <c r="AB10" s="410" t="s">
        <v>222</v>
      </c>
      <c r="AC10" s="410" t="s">
        <v>190</v>
      </c>
      <c r="AD10" s="410" t="s">
        <v>191</v>
      </c>
      <c r="AE10" s="411">
        <f>IFERROR(IF(X10="Probabilidad",(P10-(+P10*AA10)),IF(X10="Impacto",P10,"")),"")</f>
        <v>0.36</v>
      </c>
      <c r="AF10" s="248" t="str">
        <f t="shared" si="2"/>
        <v>Baja</v>
      </c>
      <c r="AG10" s="249">
        <f t="shared" si="3"/>
        <v>0.36</v>
      </c>
      <c r="AH10" s="248" t="str">
        <f t="shared" si="4"/>
        <v>Moderado</v>
      </c>
      <c r="AI10" s="249">
        <f>IFERROR(IF(X10="Impacto",(T10-(+T10*AA10)),IF(X10="Probabilidad",T10,"")),"")</f>
        <v>0.6</v>
      </c>
      <c r="AJ10" s="250" t="str">
        <f t="shared" si="5"/>
        <v>Moderado</v>
      </c>
      <c r="AK10" s="412" t="s">
        <v>192</v>
      </c>
      <c r="AL10" s="413" t="s">
        <v>1259</v>
      </c>
      <c r="AM10" s="413" t="s">
        <v>1260</v>
      </c>
      <c r="AN10" s="414">
        <v>45744</v>
      </c>
      <c r="AO10" s="838" t="s">
        <v>1261</v>
      </c>
      <c r="AP10" s="416" t="s">
        <v>1262</v>
      </c>
      <c r="AQ10" s="237"/>
    </row>
    <row r="11" spans="1:43" ht="210" customHeight="1" x14ac:dyDescent="0.3">
      <c r="A11" s="417">
        <v>2</v>
      </c>
      <c r="B11" s="405" t="s">
        <v>1253</v>
      </c>
      <c r="C11" s="406" t="s">
        <v>882</v>
      </c>
      <c r="D11" s="406">
        <f>IFERROR(INDEX('[3]Base de datos gestión'!$D$28:$D$50,MATCH(C11,'[3]Base de datos gestión'!$C$28:$C$50,0)), 0)</f>
        <v>0</v>
      </c>
      <c r="E11" s="406" t="str">
        <f>IFERROR(INDEX('[3]Base de datos gestión'!$E$28:$E$50,MATCH(C11,'[3]Base de datos gestión'!$C$28:$C$50,0)), 0)</f>
        <v>Inicia con la radicación de solicitud de contratación y finaliza con la terminación de la relación contractual.</v>
      </c>
      <c r="F11" s="408" t="s">
        <v>1254</v>
      </c>
      <c r="G11" s="408" t="s">
        <v>1254</v>
      </c>
      <c r="H11" s="406" t="s">
        <v>445</v>
      </c>
      <c r="I11" s="406" t="s">
        <v>1255</v>
      </c>
      <c r="J11" s="406" t="s">
        <v>1256</v>
      </c>
      <c r="K11" s="406" t="s">
        <v>1257</v>
      </c>
      <c r="L11" s="406" t="s">
        <v>1236</v>
      </c>
      <c r="M11" s="406" t="s">
        <v>1237</v>
      </c>
      <c r="N11" s="404">
        <v>170</v>
      </c>
      <c r="O11" s="240" t="str">
        <f>IF(N11&lt;=0,"",IF(N11&lt;=2,"Muy Baja",IF(N11&lt;=24,"Baja",IF(N11&lt;=500,"Media",IF(N11&lt;=5000,"Alta","Muy Alta")))))</f>
        <v>Media</v>
      </c>
      <c r="P11" s="241">
        <f>IF(O11="","",IF(O11="Muy Baja",0.2,IF(O11="Baja",0.4,IF(O11="Media",0.6,IF(O11="Alta",0.8,IF(O11="Muy Alta",1,))))))</f>
        <v>0.6</v>
      </c>
      <c r="Q11" s="241" t="s">
        <v>610</v>
      </c>
      <c r="R11" s="241" t="str">
        <f>IF(NOT(ISERROR(MATCH(Q11,'[3]Tabla Impacto'!$B$222:$B$224,0))),'[3]Tabla Impacto'!$F$224&amp;"Por favor no seleccionar los criterios de impacto(Afectación Económica o presupuestal y Pérdida Reputacional)",Q11)</f>
        <v xml:space="preserve">     Entre 50 y 100 SMLMV </v>
      </c>
      <c r="S11" s="240" t="str">
        <f>IF(OR(R11='[3]Tabla Impacto'!$C$12,R11='[3]Tabla Impacto'!$D$12),"Leve",IF(OR(R11='[3]Tabla Impacto'!$C$13,R11='[3]Tabla Impacto'!$D$13),"Menor",IF(OR(R11='[3]Tabla Impacto'!$C$14,R11='[3]Tabla Impacto'!$D$14),"Moderado",IF(OR(R11='[3]Tabla Impacto'!$C$15,R11='[3]Tabla Impacto'!$D$15),"Mayor",IF(OR(R11='[3]Tabla Impacto'!$C$16,R11='[3]Tabla Impacto'!$D$16),"Catastrófico","")))))</f>
        <v>Moderado</v>
      </c>
      <c r="T11" s="241">
        <f>IF(S11="","",IF(S11="Leve",0.2,IF(S11="Menor",0.4,IF(S11="Moderado",0.6,IF(S11="Mayor",0.8,IF(S11="Catastrófico",1,))))))</f>
        <v>0.6</v>
      </c>
      <c r="U11" s="243" t="str">
        <f>IF(OR(AND(O11="Muy Baja",S11="Leve"),AND(O11="Muy Baja",S11="Menor"),AND(O11="Baja",S11="Leve")),"Bajo",IF(OR(AND(O11="Muy baja",S11="Moderado"),AND(O11="Baja",S11="Menor"),AND(O11="Baja",S11="Moderado"),AND(O11="Media",S11="Leve"),AND(O11="Media",S11="Menor"),AND(O11="Media",S11="Moderado"),AND(O11="Alta",S11="Leve"),AND(O11="Alta",S11="Menor")),"Moderado",IF(OR(AND(O11="Muy Baja",S11="Mayor"),AND(O11="Baja",S11="Mayor"),AND(O11="Media",S11="Mayor"),AND(O11="Alta",S11="Moderado"),AND(O11="Alta",S11="Mayor"),AND(O11="Muy Alta",S11="Leve"),AND(O11="Muy Alta",S11="Menor"),AND(O11="Muy Alta",S11="Moderado"),AND(O11="Muy Alta",S11="Mayor")),"Alto",IF(OR(AND(O11="Muy Baja",S11="Catastrófico"),AND(O11="Baja",S11="Catastrófico"),AND(O11="Media",S11="Catastrófico"),AND(O11="Alta",S11="Catastrófico"),AND(O11="Muy Alta",S11="Catastrófico")),"Extremo",""))))</f>
        <v>Moderado</v>
      </c>
      <c r="V11" s="244">
        <v>2</v>
      </c>
      <c r="W11" s="409" t="s">
        <v>1263</v>
      </c>
      <c r="X11" s="244" t="str">
        <f t="shared" si="0"/>
        <v>Probabilidad</v>
      </c>
      <c r="Y11" s="410" t="s">
        <v>187</v>
      </c>
      <c r="Z11" s="410" t="s">
        <v>188</v>
      </c>
      <c r="AA11" s="246" t="str">
        <f t="shared" si="1"/>
        <v>40%</v>
      </c>
      <c r="AB11" s="410" t="s">
        <v>222</v>
      </c>
      <c r="AC11" s="410" t="s">
        <v>190</v>
      </c>
      <c r="AD11" s="410" t="s">
        <v>191</v>
      </c>
      <c r="AE11" s="411">
        <f t="shared" ref="AE11" si="10">IFERROR(IF(X11="Probabilidad",(P11-(+P11*AA11)),IF(X11="Impacto",P11,"")),"")</f>
        <v>0.36</v>
      </c>
      <c r="AF11" s="248" t="str">
        <f t="shared" si="2"/>
        <v>Baja</v>
      </c>
      <c r="AG11" s="249">
        <f t="shared" si="3"/>
        <v>0.36</v>
      </c>
      <c r="AH11" s="248" t="str">
        <f t="shared" si="4"/>
        <v>Moderado</v>
      </c>
      <c r="AI11" s="249">
        <f>IFERROR(IF(AND(X10="Impacto",X11="Impacto"),(AI4-(+AI4*AA11)),IF(X11="Impacto",($T$10-(+$T$10*AA11)),IF(X11="Probabilidad",AI4,""))),"")</f>
        <v>0.6</v>
      </c>
      <c r="AJ11" s="250" t="str">
        <f t="shared" si="5"/>
        <v>Moderado</v>
      </c>
      <c r="AK11" s="412" t="s">
        <v>192</v>
      </c>
      <c r="AL11" s="413" t="s">
        <v>1264</v>
      </c>
      <c r="AM11" s="413" t="s">
        <v>1260</v>
      </c>
      <c r="AN11" s="414">
        <v>45744</v>
      </c>
      <c r="AO11" s="840"/>
      <c r="AP11" s="416" t="s">
        <v>1262</v>
      </c>
      <c r="AQ11" s="237"/>
    </row>
    <row r="12" spans="1:43" ht="377.25" customHeight="1" x14ac:dyDescent="0.2">
      <c r="A12" s="418">
        <v>3</v>
      </c>
      <c r="B12" s="405" t="s">
        <v>1265</v>
      </c>
      <c r="C12" s="406" t="s">
        <v>482</v>
      </c>
      <c r="D12" s="406">
        <v>0</v>
      </c>
      <c r="E12" s="406">
        <v>0</v>
      </c>
      <c r="F12" s="408" t="s">
        <v>1266</v>
      </c>
      <c r="G12" s="408" t="s">
        <v>1266</v>
      </c>
      <c r="H12" s="406" t="s">
        <v>445</v>
      </c>
      <c r="I12" s="419" t="s">
        <v>1267</v>
      </c>
      <c r="J12" s="406" t="s">
        <v>1268</v>
      </c>
      <c r="K12" s="406" t="s">
        <v>1269</v>
      </c>
      <c r="L12" s="408" t="s">
        <v>1236</v>
      </c>
      <c r="M12" s="408" t="s">
        <v>1237</v>
      </c>
      <c r="N12" s="404">
        <v>700</v>
      </c>
      <c r="O12" s="420" t="str">
        <f>IF(N12&lt;=0,"",IF(N12&lt;=2,"Muy Baja",IF(N12&lt;=24,"Baja",IF(N12&lt;=500,"Media",IF(N12&lt;=5000,"Alta","Muy Alta")))))</f>
        <v>Alta</v>
      </c>
      <c r="P12" s="241">
        <f>IF(O12="","",IF(O12="Muy Baja",0.2,IF(O12="Baja",0.4,IF(O12="Media",0.6,IF(O12="Alta",0.8,IF(O12="Muy Alta",1,))))))</f>
        <v>0.8</v>
      </c>
      <c r="Q12" s="241" t="s">
        <v>610</v>
      </c>
      <c r="R12" s="241" t="s">
        <v>610</v>
      </c>
      <c r="S12" s="240" t="s">
        <v>8</v>
      </c>
      <c r="T12" s="241">
        <f>IF(S12="","",IF(S12="Leve",0.2,IF(S12="Menor",0.4,IF(S12="Moderado",0.6,IF(S12="Mayor",0.8,IF(S12="Catastrófico",1,))))))</f>
        <v>0.6</v>
      </c>
      <c r="U12" s="243" t="str">
        <f>IF(OR(AND(O12="Muy Baja",S12="Leve"),AND(O12="Muy Baja",S12="Menor"),AND(O12="Baja",S12="Leve")),"Bajo",IF(OR(AND(O12="Muy baja",S12="Moderado"),AND(O12="Baja",S12="Menor"),AND(O12="Baja",S12="Moderado"),AND(O12="Media",S12="Leve"),AND(O12="Media",S12="Menor"),AND(O12="Media",S12="Moderado"),AND(O12="Alta",S12="Leve"),AND(O12="Alta",S12="Menor")),"Moderado",IF(OR(AND(O12="Muy Baja",S12="Mayor"),AND(O12="Baja",S12="Mayor"),AND(O12="Media",S12="Mayor"),AND(O12="Alta",S12="Moderado"),AND(O12="Alta",S12="Mayor"),AND(O12="Muy Alta",S12="Leve"),AND(O12="Muy Alta",S12="Menor"),AND(O12="Muy Alta",S12="Moderado"),AND(O12="Muy Alta",S12="Mayor")),"Alto",IF(OR(AND(O12="Muy Baja",S12="Catastrófico"),AND(O12="Baja",S12="Catastrófico"),AND(O12="Media",S12="Catastrófico"),AND(O12="Alta",S12="Catastrófico"),AND(O12="Muy Alta",S12="Catastrófico")),"Extremo",""))))</f>
        <v>Alto</v>
      </c>
      <c r="V12" s="244">
        <v>1</v>
      </c>
      <c r="W12" s="421" t="s">
        <v>1270</v>
      </c>
      <c r="X12" s="244" t="str">
        <f t="shared" si="0"/>
        <v>Probabilidad</v>
      </c>
      <c r="Y12" s="410" t="s">
        <v>187</v>
      </c>
      <c r="Z12" s="410" t="s">
        <v>188</v>
      </c>
      <c r="AA12" s="246" t="str">
        <f t="shared" si="1"/>
        <v>40%</v>
      </c>
      <c r="AB12" s="410" t="s">
        <v>222</v>
      </c>
      <c r="AC12" s="410" t="s">
        <v>190</v>
      </c>
      <c r="AD12" s="410" t="s">
        <v>191</v>
      </c>
      <c r="AE12" s="411">
        <f>IFERROR(IF(X12="Probabilidad",(P12-(+P12*AA12)),IF(X12="Impacto",P12,"")),"")</f>
        <v>0.48</v>
      </c>
      <c r="AF12" s="248" t="str">
        <f t="shared" si="2"/>
        <v>Media</v>
      </c>
      <c r="AG12" s="249">
        <f t="shared" si="3"/>
        <v>0.48</v>
      </c>
      <c r="AH12" s="248" t="str">
        <f t="shared" si="4"/>
        <v>Moderado</v>
      </c>
      <c r="AI12" s="249">
        <f>IFERROR(IF(X12="Impacto",(T12-(+T12*AA12)),IF(X12="Probabilidad",T12,"")),"")</f>
        <v>0.6</v>
      </c>
      <c r="AJ12" s="250" t="str">
        <f t="shared" si="5"/>
        <v>Moderado</v>
      </c>
      <c r="AK12" s="412" t="s">
        <v>192</v>
      </c>
      <c r="AL12" s="413" t="s">
        <v>1271</v>
      </c>
      <c r="AM12" s="413" t="s">
        <v>1272</v>
      </c>
      <c r="AN12" s="414">
        <v>45838</v>
      </c>
      <c r="AO12" s="838" t="s">
        <v>1273</v>
      </c>
      <c r="AP12" s="413"/>
    </row>
    <row r="13" spans="1:43" ht="409.5" x14ac:dyDescent="0.2">
      <c r="A13" s="418">
        <v>3</v>
      </c>
      <c r="B13" s="405" t="s">
        <v>1265</v>
      </c>
      <c r="C13" s="406" t="s">
        <v>482</v>
      </c>
      <c r="D13" s="406">
        <v>0</v>
      </c>
      <c r="E13" s="406">
        <v>0</v>
      </c>
      <c r="F13" s="408" t="s">
        <v>1266</v>
      </c>
      <c r="G13" s="408" t="s">
        <v>1266</v>
      </c>
      <c r="H13" s="406" t="s">
        <v>445</v>
      </c>
      <c r="I13" s="419" t="s">
        <v>1274</v>
      </c>
      <c r="J13" s="406" t="s">
        <v>1268</v>
      </c>
      <c r="K13" s="406" t="s">
        <v>1269</v>
      </c>
      <c r="L13" s="408" t="s">
        <v>1236</v>
      </c>
      <c r="M13" s="408" t="s">
        <v>1237</v>
      </c>
      <c r="N13" s="404">
        <v>700</v>
      </c>
      <c r="O13" s="420" t="str">
        <f t="shared" ref="O13:O21" si="11">IF(N13&lt;=0,"",IF(N13&lt;=2,"Muy Baja",IF(N13&lt;=24,"Baja",IF(N13&lt;=500,"Media",IF(N13&lt;=5000,"Alta","Muy Alta")))))</f>
        <v>Alta</v>
      </c>
      <c r="P13" s="241">
        <f t="shared" ref="P13:P21" si="12">IF(O13="","",IF(O13="Muy Baja",0.2,IF(O13="Baja",0.4,IF(O13="Media",0.6,IF(O13="Alta",0.8,IF(O13="Muy Alta",1,))))))</f>
        <v>0.8</v>
      </c>
      <c r="Q13" s="241" t="s">
        <v>610</v>
      </c>
      <c r="R13" s="241" t="s">
        <v>610</v>
      </c>
      <c r="S13" s="240" t="s">
        <v>8</v>
      </c>
      <c r="T13" s="241">
        <f t="shared" ref="T13:T21" si="13">IF(S13="","",IF(S13="Leve",0.2,IF(S13="Menor",0.4,IF(S13="Moderado",0.6,IF(S13="Mayor",0.8,IF(S13="Catastrófico",1,))))))</f>
        <v>0.6</v>
      </c>
      <c r="U13" s="243" t="str">
        <f t="shared" ref="U13:U21" si="14">IF(OR(AND(O13="Muy Baja",S13="Leve"),AND(O13="Muy Baja",S13="Menor"),AND(O13="Baja",S13="Leve")),"Bajo",IF(OR(AND(O13="Muy baja",S13="Moderado"),AND(O13="Baja",S13="Menor"),AND(O13="Baja",S13="Moderado"),AND(O13="Media",S13="Leve"),AND(O13="Media",S13="Menor"),AND(O13="Media",S13="Moderado"),AND(O13="Alta",S13="Leve"),AND(O13="Alta",S13="Menor")),"Moderado",IF(OR(AND(O13="Muy Baja",S13="Mayor"),AND(O13="Baja",S13="Mayor"),AND(O13="Media",S13="Mayor"),AND(O13="Alta",S13="Moderado"),AND(O13="Alta",S13="Mayor"),AND(O13="Muy Alta",S13="Leve"),AND(O13="Muy Alta",S13="Menor"),AND(O13="Muy Alta",S13="Moderado"),AND(O13="Muy Alta",S13="Mayor")),"Alto",IF(OR(AND(O13="Muy Baja",S13="Catastrófico"),AND(O13="Baja",S13="Catastrófico"),AND(O13="Media",S13="Catastrófico"),AND(O13="Alta",S13="Catastrófico"),AND(O13="Muy Alta",S13="Catastrófico")),"Extremo",""))))</f>
        <v>Alto</v>
      </c>
      <c r="V13" s="244">
        <v>2</v>
      </c>
      <c r="W13" s="599" t="s">
        <v>1275</v>
      </c>
      <c r="X13" s="244" t="str">
        <f t="shared" si="0"/>
        <v>Probabilidad</v>
      </c>
      <c r="Y13" s="410" t="s">
        <v>187</v>
      </c>
      <c r="Z13" s="410" t="s">
        <v>188</v>
      </c>
      <c r="AA13" s="246" t="str">
        <f t="shared" si="1"/>
        <v>40%</v>
      </c>
      <c r="AB13" s="410" t="s">
        <v>222</v>
      </c>
      <c r="AC13" s="410" t="s">
        <v>190</v>
      </c>
      <c r="AD13" s="410" t="s">
        <v>191</v>
      </c>
      <c r="AE13" s="411">
        <f>IFERROR(IF(AND(X12="Probabilidad",X13="Probabilidad"),(AG12-(+AG12*AA13)),IF(X13="Probabilidad",(P12-(+P12*AA13)),IF(X13="Impacto",AG12,""))),"")</f>
        <v>0.28799999999999998</v>
      </c>
      <c r="AF13" s="248" t="str">
        <f t="shared" si="2"/>
        <v>Baja</v>
      </c>
      <c r="AG13" s="249">
        <f t="shared" si="3"/>
        <v>0.28799999999999998</v>
      </c>
      <c r="AH13" s="248" t="str">
        <f t="shared" si="4"/>
        <v>Moderado</v>
      </c>
      <c r="AI13" s="249">
        <f>IFERROR(IF(AND(X12="Impacto",X13="Impacto"),(AI6-(+AI6*AA13)),IF(X13="Impacto",($T$10-(+$T$10*AA13)),IF(X13="Probabilidad",AI6,""))),"")</f>
        <v>0.6</v>
      </c>
      <c r="AJ13" s="250" t="str">
        <f t="shared" si="5"/>
        <v>Moderado</v>
      </c>
      <c r="AK13" s="412" t="s">
        <v>192</v>
      </c>
      <c r="AL13" s="413"/>
      <c r="AM13" s="244"/>
      <c r="AN13" s="423"/>
      <c r="AO13" s="839"/>
      <c r="AP13" s="413"/>
    </row>
    <row r="14" spans="1:43" ht="409.5" x14ac:dyDescent="0.2">
      <c r="A14" s="418">
        <v>3</v>
      </c>
      <c r="B14" s="405" t="s">
        <v>1265</v>
      </c>
      <c r="C14" s="406" t="s">
        <v>482</v>
      </c>
      <c r="D14" s="406">
        <v>0</v>
      </c>
      <c r="E14" s="406">
        <v>0</v>
      </c>
      <c r="F14" s="408" t="s">
        <v>1266</v>
      </c>
      <c r="G14" s="408" t="s">
        <v>1266</v>
      </c>
      <c r="H14" s="406" t="s">
        <v>445</v>
      </c>
      <c r="I14" s="419" t="s">
        <v>1276</v>
      </c>
      <c r="J14" s="406" t="s">
        <v>1268</v>
      </c>
      <c r="K14" s="406" t="s">
        <v>1269</v>
      </c>
      <c r="L14" s="408" t="s">
        <v>1236</v>
      </c>
      <c r="M14" s="408" t="s">
        <v>1237</v>
      </c>
      <c r="N14" s="404">
        <v>700</v>
      </c>
      <c r="O14" s="420" t="str">
        <f t="shared" si="11"/>
        <v>Alta</v>
      </c>
      <c r="P14" s="241">
        <f t="shared" si="12"/>
        <v>0.8</v>
      </c>
      <c r="Q14" s="241" t="s">
        <v>610</v>
      </c>
      <c r="R14" s="241" t="s">
        <v>610</v>
      </c>
      <c r="S14" s="240" t="s">
        <v>8</v>
      </c>
      <c r="T14" s="241">
        <f t="shared" si="13"/>
        <v>0.6</v>
      </c>
      <c r="U14" s="243" t="str">
        <f t="shared" si="14"/>
        <v>Alto</v>
      </c>
      <c r="V14" s="244">
        <v>3</v>
      </c>
      <c r="W14" s="599" t="s">
        <v>1277</v>
      </c>
      <c r="X14" s="244" t="str">
        <f t="shared" si="0"/>
        <v>Probabilidad</v>
      </c>
      <c r="Y14" s="410" t="s">
        <v>187</v>
      </c>
      <c r="Z14" s="410" t="s">
        <v>188</v>
      </c>
      <c r="AA14" s="246" t="str">
        <f t="shared" si="1"/>
        <v>40%</v>
      </c>
      <c r="AB14" s="410" t="s">
        <v>222</v>
      </c>
      <c r="AC14" s="410" t="s">
        <v>190</v>
      </c>
      <c r="AD14" s="410" t="s">
        <v>191</v>
      </c>
      <c r="AE14" s="411">
        <f>IFERROR(IF(AND(X13="Probabilidad",X14="Probabilidad"),(AG13-(+AG13*AA14)),IF(AND(X13="Impacto",X14="Probabilidad"),(AG12-(+AG12*AA14)),IF(X14="Impacto",AG13,""))),"")</f>
        <v>0.17279999999999998</v>
      </c>
      <c r="AF14" s="248" t="str">
        <f t="shared" si="2"/>
        <v>Muy Baja</v>
      </c>
      <c r="AG14" s="249">
        <f t="shared" si="3"/>
        <v>0.17279999999999998</v>
      </c>
      <c r="AH14" s="248" t="str">
        <f t="shared" si="4"/>
        <v>Moderado</v>
      </c>
      <c r="AI14" s="249">
        <f>IFERROR(IF(AND(X13="Impacto",X14="Impacto"),(AI13-(+AI13*AA14)),IF(AND(X13="Probabilidad",X14="Impacto"),(AI12-(+AI12*AA14)),IF(X14="Probabilidad",AI13,""))),"")</f>
        <v>0.6</v>
      </c>
      <c r="AJ14" s="250" t="str">
        <f t="shared" si="5"/>
        <v>Moderado</v>
      </c>
      <c r="AK14" s="412" t="s">
        <v>192</v>
      </c>
      <c r="AL14" s="413" t="s">
        <v>1278</v>
      </c>
      <c r="AM14" s="416" t="s">
        <v>1279</v>
      </c>
      <c r="AN14" s="414">
        <v>45838</v>
      </c>
      <c r="AO14" s="839"/>
      <c r="AP14" s="413"/>
    </row>
    <row r="15" spans="1:43" ht="409.5" x14ac:dyDescent="0.2">
      <c r="A15" s="418">
        <v>3</v>
      </c>
      <c r="B15" s="405" t="s">
        <v>1265</v>
      </c>
      <c r="C15" s="406" t="s">
        <v>482</v>
      </c>
      <c r="D15" s="406">
        <v>0</v>
      </c>
      <c r="E15" s="406">
        <v>0</v>
      </c>
      <c r="F15" s="408" t="s">
        <v>1266</v>
      </c>
      <c r="G15" s="408" t="s">
        <v>1266</v>
      </c>
      <c r="H15" s="406" t="s">
        <v>445</v>
      </c>
      <c r="I15" s="419" t="s">
        <v>1280</v>
      </c>
      <c r="J15" s="406" t="s">
        <v>1268</v>
      </c>
      <c r="K15" s="406" t="s">
        <v>1269</v>
      </c>
      <c r="L15" s="408" t="s">
        <v>1236</v>
      </c>
      <c r="M15" s="408" t="s">
        <v>1237</v>
      </c>
      <c r="N15" s="404">
        <v>700</v>
      </c>
      <c r="O15" s="420" t="str">
        <f t="shared" si="11"/>
        <v>Alta</v>
      </c>
      <c r="P15" s="241">
        <f t="shared" si="12"/>
        <v>0.8</v>
      </c>
      <c r="Q15" s="241" t="s">
        <v>610</v>
      </c>
      <c r="R15" s="241" t="s">
        <v>610</v>
      </c>
      <c r="S15" s="240" t="s">
        <v>8</v>
      </c>
      <c r="T15" s="241">
        <f t="shared" si="13"/>
        <v>0.6</v>
      </c>
      <c r="U15" s="243" t="str">
        <f t="shared" si="14"/>
        <v>Alto</v>
      </c>
      <c r="V15" s="244">
        <v>4</v>
      </c>
      <c r="W15" s="422" t="s">
        <v>1281</v>
      </c>
      <c r="X15" s="424" t="str">
        <f>IF(OR(Y15="Preventivo",Y15="Detectivo"),"Probabilidad",IF(Y15="Correctivo","Impacto",""))</f>
        <v>Probabilidad</v>
      </c>
      <c r="Y15" s="425" t="s">
        <v>187</v>
      </c>
      <c r="Z15" s="425" t="s">
        <v>188</v>
      </c>
      <c r="AA15" s="426" t="str">
        <f t="shared" si="1"/>
        <v>40%</v>
      </c>
      <c r="AB15" s="425" t="s">
        <v>222</v>
      </c>
      <c r="AC15" s="425" t="s">
        <v>190</v>
      </c>
      <c r="AD15" s="425" t="s">
        <v>191</v>
      </c>
      <c r="AE15" s="427">
        <f>IFERROR(IF(AND(X14="Probabilidad",X15="Probabilidad"),(AG14-(+AG14*AA15)),IF(AND(X14="Impacto",X15="Probabilidad"),(AG13-(+AG13*AA15)),IF(X15="Impacto",AG14,""))),"")</f>
        <v>0.10367999999999998</v>
      </c>
      <c r="AF15" s="428" t="str">
        <f t="shared" si="2"/>
        <v>Muy Baja</v>
      </c>
      <c r="AG15" s="429">
        <f t="shared" si="3"/>
        <v>0.10367999999999998</v>
      </c>
      <c r="AH15" s="428" t="str">
        <f t="shared" si="4"/>
        <v>Moderado</v>
      </c>
      <c r="AI15" s="429">
        <f>IFERROR(IF(AND(X14="Impacto",X15="Impacto"),(AI14-(+AI14*AA15)),IF(AND(X14="Probabilidad",X15="Impacto"),(AI13-(+AI13*AA15)),IF(X15="Probabilidad",AI14,""))),"")</f>
        <v>0.6</v>
      </c>
      <c r="AJ15" s="430" t="str">
        <f t="shared" si="5"/>
        <v>Moderado</v>
      </c>
      <c r="AK15" s="431" t="s">
        <v>192</v>
      </c>
      <c r="AL15" s="432"/>
      <c r="AM15" s="424"/>
      <c r="AN15" s="433"/>
      <c r="AO15" s="839"/>
      <c r="AP15" s="432"/>
    </row>
    <row r="16" spans="1:43" ht="397.5" customHeight="1" x14ac:dyDescent="0.2">
      <c r="A16" s="418">
        <v>3</v>
      </c>
      <c r="B16" s="405" t="s">
        <v>1265</v>
      </c>
      <c r="C16" s="406" t="s">
        <v>482</v>
      </c>
      <c r="D16" s="406">
        <v>0</v>
      </c>
      <c r="E16" s="406">
        <v>0</v>
      </c>
      <c r="F16" s="408" t="s">
        <v>1266</v>
      </c>
      <c r="G16" s="408" t="s">
        <v>1266</v>
      </c>
      <c r="H16" s="406" t="s">
        <v>445</v>
      </c>
      <c r="I16" s="419" t="s">
        <v>1282</v>
      </c>
      <c r="J16" s="406" t="s">
        <v>1268</v>
      </c>
      <c r="K16" s="406" t="s">
        <v>1269</v>
      </c>
      <c r="L16" s="408" t="s">
        <v>1236</v>
      </c>
      <c r="M16" s="408" t="s">
        <v>1237</v>
      </c>
      <c r="N16" s="404">
        <v>700</v>
      </c>
      <c r="O16" s="420" t="str">
        <f t="shared" si="11"/>
        <v>Alta</v>
      </c>
      <c r="P16" s="241">
        <f t="shared" si="12"/>
        <v>0.8</v>
      </c>
      <c r="Q16" s="241" t="s">
        <v>610</v>
      </c>
      <c r="R16" s="241" t="s">
        <v>610</v>
      </c>
      <c r="S16" s="240" t="s">
        <v>8</v>
      </c>
      <c r="T16" s="241">
        <f t="shared" si="13"/>
        <v>0.6</v>
      </c>
      <c r="U16" s="243" t="str">
        <f t="shared" si="14"/>
        <v>Alto</v>
      </c>
      <c r="V16" s="244">
        <v>5</v>
      </c>
      <c r="W16" s="434" t="s">
        <v>1283</v>
      </c>
      <c r="X16" s="424" t="str">
        <f>IF(OR(Y16="Preventivo",Y16="Detectivo"),"Probabilidad",IF(Y16="Correctivo","Impacto",""))</f>
        <v>Probabilidad</v>
      </c>
      <c r="Y16" s="425" t="s">
        <v>187</v>
      </c>
      <c r="Z16" s="425" t="s">
        <v>188</v>
      </c>
      <c r="AA16" s="426" t="str">
        <f t="shared" si="1"/>
        <v>40%</v>
      </c>
      <c r="AB16" s="425" t="s">
        <v>222</v>
      </c>
      <c r="AC16" s="425" t="s">
        <v>190</v>
      </c>
      <c r="AD16" s="425" t="s">
        <v>191</v>
      </c>
      <c r="AE16" s="427">
        <f>IFERROR(IF(AND(X15="Probabilidad",X16="Probabilidad"),(AG15-(+AG15*AA16)),IF(AND(X15="Impacto",X16="Probabilidad"),(AG14-(+AG14*AA16)),IF(X16="Impacto",AG15,""))),"")</f>
        <v>6.2207999999999986E-2</v>
      </c>
      <c r="AF16" s="428" t="str">
        <f t="shared" si="2"/>
        <v>Muy Baja</v>
      </c>
      <c r="AG16" s="429">
        <f t="shared" si="3"/>
        <v>6.2207999999999986E-2</v>
      </c>
      <c r="AH16" s="428" t="str">
        <f t="shared" si="4"/>
        <v>Moderado</v>
      </c>
      <c r="AI16" s="429">
        <f>IFERROR(IF(AND(X15="Impacto",X16="Impacto"),(AI15-(+AI15*AA16)),IF(AND(X15="Probabilidad",X16="Impacto"),(AI14-(+AI14*AA16)),IF(X16="Probabilidad",AI15,""))),"")</f>
        <v>0.6</v>
      </c>
      <c r="AJ16" s="430" t="str">
        <f t="shared" si="5"/>
        <v>Moderado</v>
      </c>
      <c r="AK16" s="431" t="s">
        <v>192</v>
      </c>
      <c r="AL16" s="432"/>
      <c r="AM16" s="424"/>
      <c r="AN16" s="433"/>
      <c r="AO16" s="839"/>
      <c r="AP16" s="432"/>
    </row>
    <row r="17" spans="1:42" ht="409.5" x14ac:dyDescent="0.2">
      <c r="A17" s="418">
        <v>3</v>
      </c>
      <c r="B17" s="405" t="s">
        <v>1265</v>
      </c>
      <c r="C17" s="406" t="s">
        <v>482</v>
      </c>
      <c r="D17" s="406">
        <v>0</v>
      </c>
      <c r="E17" s="406">
        <v>0</v>
      </c>
      <c r="F17" s="408" t="s">
        <v>1266</v>
      </c>
      <c r="G17" s="408" t="s">
        <v>1266</v>
      </c>
      <c r="H17" s="406" t="s">
        <v>445</v>
      </c>
      <c r="I17" s="419" t="s">
        <v>1274</v>
      </c>
      <c r="J17" s="406" t="s">
        <v>1268</v>
      </c>
      <c r="K17" s="406" t="s">
        <v>1269</v>
      </c>
      <c r="L17" s="408" t="s">
        <v>1236</v>
      </c>
      <c r="M17" s="408" t="s">
        <v>1237</v>
      </c>
      <c r="N17" s="404">
        <v>700</v>
      </c>
      <c r="O17" s="420" t="str">
        <f t="shared" si="11"/>
        <v>Alta</v>
      </c>
      <c r="P17" s="241">
        <f t="shared" si="12"/>
        <v>0.8</v>
      </c>
      <c r="Q17" s="241" t="s">
        <v>610</v>
      </c>
      <c r="R17" s="241" t="s">
        <v>610</v>
      </c>
      <c r="S17" s="240" t="s">
        <v>8</v>
      </c>
      <c r="T17" s="241">
        <f t="shared" si="13"/>
        <v>0.6</v>
      </c>
      <c r="U17" s="243" t="str">
        <f t="shared" si="14"/>
        <v>Alto</v>
      </c>
      <c r="V17" s="244">
        <v>6</v>
      </c>
      <c r="W17" s="434" t="s">
        <v>1284</v>
      </c>
      <c r="X17" s="244" t="str">
        <f t="shared" si="0"/>
        <v>Probabilidad</v>
      </c>
      <c r="Y17" s="410" t="s">
        <v>187</v>
      </c>
      <c r="Z17" s="410" t="s">
        <v>188</v>
      </c>
      <c r="AA17" s="246" t="str">
        <f t="shared" si="1"/>
        <v>40%</v>
      </c>
      <c r="AB17" s="410" t="s">
        <v>222</v>
      </c>
      <c r="AC17" s="410" t="s">
        <v>190</v>
      </c>
      <c r="AD17" s="410" t="s">
        <v>191</v>
      </c>
      <c r="AE17" s="411">
        <f>IFERROR(IF(AND(X15="Probabilidad",X17="Probabilidad"),(AG15-(+AG15*AA17)),IF(AND(X15="Impacto",X17="Probabilidad"),(AG14-(+AG14*AA17)),IF(X17="Impacto",AG15,""))),"")</f>
        <v>6.2207999999999986E-2</v>
      </c>
      <c r="AF17" s="248" t="str">
        <f t="shared" si="2"/>
        <v>Muy Baja</v>
      </c>
      <c r="AG17" s="249">
        <f t="shared" si="3"/>
        <v>6.2207999999999986E-2</v>
      </c>
      <c r="AH17" s="248" t="str">
        <f t="shared" si="4"/>
        <v>Moderado</v>
      </c>
      <c r="AI17" s="249">
        <f>IFERROR(IF(AND(X15="Impacto",X17="Impacto"),(AI15-(+AI15*AA17)),IF(AND(X15="Probabilidad",X17="Impacto"),(AI14-(+AI14*AA17)),IF(X17="Probabilidad",AI15,""))),"")</f>
        <v>0.6</v>
      </c>
      <c r="AJ17" s="250" t="str">
        <f t="shared" si="5"/>
        <v>Moderado</v>
      </c>
      <c r="AK17" s="412" t="s">
        <v>192</v>
      </c>
      <c r="AL17" s="413"/>
      <c r="AM17" s="244"/>
      <c r="AN17" s="423"/>
      <c r="AO17" s="839"/>
      <c r="AP17" s="413"/>
    </row>
    <row r="18" spans="1:42" ht="369.75" customHeight="1" x14ac:dyDescent="0.2">
      <c r="A18" s="418">
        <v>3</v>
      </c>
      <c r="B18" s="405" t="s">
        <v>1265</v>
      </c>
      <c r="C18" s="406" t="s">
        <v>482</v>
      </c>
      <c r="D18" s="406">
        <v>0</v>
      </c>
      <c r="E18" s="406">
        <v>0</v>
      </c>
      <c r="F18" s="408" t="s">
        <v>1266</v>
      </c>
      <c r="G18" s="408" t="s">
        <v>1266</v>
      </c>
      <c r="H18" s="406" t="s">
        <v>445</v>
      </c>
      <c r="I18" s="419" t="s">
        <v>1285</v>
      </c>
      <c r="J18" s="406" t="s">
        <v>1268</v>
      </c>
      <c r="K18" s="406" t="s">
        <v>1269</v>
      </c>
      <c r="L18" s="408" t="s">
        <v>1236</v>
      </c>
      <c r="M18" s="408" t="s">
        <v>1237</v>
      </c>
      <c r="N18" s="404">
        <v>700</v>
      </c>
      <c r="O18" s="420" t="str">
        <f t="shared" si="11"/>
        <v>Alta</v>
      </c>
      <c r="P18" s="241">
        <f t="shared" si="12"/>
        <v>0.8</v>
      </c>
      <c r="Q18" s="241" t="s">
        <v>610</v>
      </c>
      <c r="R18" s="241" t="s">
        <v>610</v>
      </c>
      <c r="S18" s="240" t="s">
        <v>8</v>
      </c>
      <c r="T18" s="241">
        <f t="shared" si="13"/>
        <v>0.6</v>
      </c>
      <c r="U18" s="243" t="str">
        <f t="shared" si="14"/>
        <v>Alto</v>
      </c>
      <c r="V18" s="244">
        <v>7</v>
      </c>
      <c r="W18" s="599" t="s">
        <v>1286</v>
      </c>
      <c r="X18" s="244" t="str">
        <f t="shared" si="0"/>
        <v>Probabilidad</v>
      </c>
      <c r="Y18" s="410" t="s">
        <v>187</v>
      </c>
      <c r="Z18" s="410" t="s">
        <v>188</v>
      </c>
      <c r="AA18" s="246" t="str">
        <f t="shared" si="1"/>
        <v>40%</v>
      </c>
      <c r="AB18" s="410" t="s">
        <v>222</v>
      </c>
      <c r="AC18" s="410" t="s">
        <v>190</v>
      </c>
      <c r="AD18" s="410" t="s">
        <v>191</v>
      </c>
      <c r="AE18" s="411">
        <f>IFERROR(IF(AND(X17="Probabilidad",X18="Probabilidad"),(AG17-(+AG17*AA18)),IF(AND(X17="Impacto",X18="Probabilidad"),(AG15-(+AG15*AA18)),IF(X18="Impacto",AG17,""))),"")</f>
        <v>3.7324799999999991E-2</v>
      </c>
      <c r="AF18" s="248" t="str">
        <f t="shared" si="2"/>
        <v>Muy Baja</v>
      </c>
      <c r="AG18" s="249">
        <f t="shared" si="3"/>
        <v>3.7324799999999991E-2</v>
      </c>
      <c r="AH18" s="248" t="str">
        <f t="shared" si="4"/>
        <v>Moderado</v>
      </c>
      <c r="AI18" s="249">
        <f>IFERROR(IF(AND(X17="Impacto",X18="Impacto"),(AI17-(+AI17*AA18)),IF(AND(X17="Probabilidad",X18="Impacto"),(AI15-(+AI15*AA18)),IF(X18="Probabilidad",AI17,""))),"")</f>
        <v>0.6</v>
      </c>
      <c r="AJ18" s="250" t="str">
        <f t="shared" si="5"/>
        <v>Moderado</v>
      </c>
      <c r="AK18" s="412" t="s">
        <v>192</v>
      </c>
      <c r="AL18" s="413"/>
      <c r="AM18" s="244"/>
      <c r="AN18" s="423"/>
      <c r="AO18" s="839"/>
      <c r="AP18" s="413"/>
    </row>
    <row r="19" spans="1:42" ht="350.1" customHeight="1" x14ac:dyDescent="0.2">
      <c r="A19" s="418">
        <v>3</v>
      </c>
      <c r="B19" s="405" t="s">
        <v>1265</v>
      </c>
      <c r="C19" s="406" t="s">
        <v>482</v>
      </c>
      <c r="D19" s="406">
        <v>0</v>
      </c>
      <c r="E19" s="406">
        <v>0</v>
      </c>
      <c r="F19" s="408" t="s">
        <v>1266</v>
      </c>
      <c r="G19" s="408" t="s">
        <v>1266</v>
      </c>
      <c r="H19" s="406" t="s">
        <v>445</v>
      </c>
      <c r="I19" s="419" t="s">
        <v>1267</v>
      </c>
      <c r="J19" s="406" t="s">
        <v>1268</v>
      </c>
      <c r="K19" s="406" t="s">
        <v>1269</v>
      </c>
      <c r="L19" s="408" t="s">
        <v>1236</v>
      </c>
      <c r="M19" s="408" t="s">
        <v>1237</v>
      </c>
      <c r="N19" s="404">
        <v>700</v>
      </c>
      <c r="O19" s="420" t="str">
        <f t="shared" si="11"/>
        <v>Alta</v>
      </c>
      <c r="P19" s="241">
        <f t="shared" si="12"/>
        <v>0.8</v>
      </c>
      <c r="Q19" s="241" t="s">
        <v>610</v>
      </c>
      <c r="R19" s="241" t="s">
        <v>610</v>
      </c>
      <c r="S19" s="240" t="s">
        <v>8</v>
      </c>
      <c r="T19" s="241">
        <f t="shared" si="13"/>
        <v>0.6</v>
      </c>
      <c r="U19" s="243" t="str">
        <f t="shared" si="14"/>
        <v>Alto</v>
      </c>
      <c r="V19" s="244">
        <v>8</v>
      </c>
      <c r="W19" s="422" t="s">
        <v>1287</v>
      </c>
      <c r="X19" s="244" t="str">
        <f>IF(OR(Y19="Preventivo",Y19="Detectivo"),"Probabilidad",IF(Y19="Correctivo","Impacto",""))</f>
        <v>Probabilidad</v>
      </c>
      <c r="Y19" s="410" t="s">
        <v>187</v>
      </c>
      <c r="Z19" s="410" t="s">
        <v>188</v>
      </c>
      <c r="AA19" s="246" t="str">
        <f>IF(AND(Y19="Preventivo",Z19="Automático"),"50%",IF(AND(Y19="Preventivo",Z19="Manual"),"40%",IF(AND(Y19="Detectivo",Z19="Automático"),"40%",IF(AND(Y19="Detectivo",Z19="Manual"),"30%",IF(AND(Y19="Correctivo",Z19="Automático"),"35%",IF(AND(Y19="Correctivo",Z19="Manual"),"25%",""))))))</f>
        <v>40%</v>
      </c>
      <c r="AB19" s="410" t="s">
        <v>222</v>
      </c>
      <c r="AC19" s="410" t="s">
        <v>190</v>
      </c>
      <c r="AD19" s="410" t="s">
        <v>191</v>
      </c>
      <c r="AE19" s="411">
        <f>IFERROR(IF(AND(X17="Probabilidad",X19="Probabilidad"),(AG17-(+AG17*AA19)),IF(AND(X17="Impacto",X19="Probabilidad"),(AG15-(+AG15*AA19)),IF(X19="Impacto",AG17,""))),"")</f>
        <v>3.7324799999999991E-2</v>
      </c>
      <c r="AF19" s="248" t="str">
        <f>IFERROR(IF(AE19="","",IF(AE19&lt;=0.2,"Muy Baja",IF(AE19&lt;=0.4,"Baja",IF(AE19&lt;=0.6,"Media",IF(AE19&lt;=0.8,"Alta","Muy Alta"))))),"")</f>
        <v>Muy Baja</v>
      </c>
      <c r="AG19" s="249">
        <f>+AE19</f>
        <v>3.7324799999999991E-2</v>
      </c>
      <c r="AH19" s="248" t="str">
        <f>IFERROR(IF(AI19="","",IF(AI19&lt;=0.2,"Leve",IF(AI19&lt;=0.4,"Menor",IF(AI19&lt;=0.6,"Moderado",IF(AI19&lt;=0.8,"Mayor","Catastrófico"))))),"")</f>
        <v>Moderado</v>
      </c>
      <c r="AI19" s="249">
        <f>IFERROR(IF(AND(X17="Impacto",X19="Impacto"),(AI17-(+AI17*AA19)),IF(AND(X17="Probabilidad",X19="Impacto"),(AI15-(+AI15*AA19)),IF(X19="Probabilidad",AI17,""))),"")</f>
        <v>0.6</v>
      </c>
      <c r="AJ19" s="250" t="str">
        <f>IFERROR(IF(OR(AND(AF19="Muy Baja",AH19="Leve"),AND(AF19="Muy Baja",AH19="Menor"),AND(AF19="Baja",AH19="Leve")),"Bajo",IF(OR(AND(AF19="Muy baja",AH19="Moderado"),AND(AF19="Baja",AH19="Menor"),AND(AF19="Baja",AH19="Moderado"),AND(AF19="Media",AH19="Leve"),AND(AF19="Media",AH19="Menor"),AND(AF19="Media",AH19="Moderado"),AND(AF19="Alta",AH19="Leve"),AND(AF19="Alta",AH19="Menor")),"Moderado",IF(OR(AND(AF19="Muy Baja",AH19="Mayor"),AND(AF19="Baja",AH19="Mayor"),AND(AF19="Media",AH19="Mayor"),AND(AF19="Alta",AH19="Moderado"),AND(AF19="Alta",AH19="Mayor"),AND(AF19="Muy Alta",AH19="Leve"),AND(AF19="Muy Alta",AH19="Menor"),AND(AF19="Muy Alta",AH19="Moderado"),AND(AF19="Muy Alta",AH19="Mayor")),"Alto",IF(OR(AND(AF19="Muy Baja",AH19="Catastrófico"),AND(AF19="Baja",AH19="Catastrófico"),AND(AF19="Media",AH19="Catastrófico"),AND(AF19="Alta",AH19="Catastrófico"),AND(AF19="Muy Alta",AH19="Catastrófico")),"Extremo","")))),"")</f>
        <v>Moderado</v>
      </c>
      <c r="AK19" s="412" t="s">
        <v>192</v>
      </c>
      <c r="AL19" s="413"/>
      <c r="AM19" s="244"/>
      <c r="AN19" s="423"/>
      <c r="AO19" s="839"/>
      <c r="AP19" s="413"/>
    </row>
    <row r="20" spans="1:42" ht="350.1" customHeight="1" x14ac:dyDescent="0.2">
      <c r="A20" s="418">
        <v>3</v>
      </c>
      <c r="B20" s="405" t="s">
        <v>1265</v>
      </c>
      <c r="C20" s="406" t="s">
        <v>482</v>
      </c>
      <c r="D20" s="406">
        <v>0</v>
      </c>
      <c r="E20" s="406">
        <v>0</v>
      </c>
      <c r="F20" s="408" t="s">
        <v>1266</v>
      </c>
      <c r="G20" s="408" t="s">
        <v>1266</v>
      </c>
      <c r="H20" s="406" t="s">
        <v>445</v>
      </c>
      <c r="I20" s="419" t="s">
        <v>1267</v>
      </c>
      <c r="J20" s="406" t="s">
        <v>1268</v>
      </c>
      <c r="K20" s="406" t="s">
        <v>1269</v>
      </c>
      <c r="L20" s="408" t="s">
        <v>1236</v>
      </c>
      <c r="M20" s="408" t="s">
        <v>1237</v>
      </c>
      <c r="N20" s="404">
        <v>700</v>
      </c>
      <c r="O20" s="420" t="str">
        <f t="shared" si="11"/>
        <v>Alta</v>
      </c>
      <c r="P20" s="241">
        <f t="shared" si="12"/>
        <v>0.8</v>
      </c>
      <c r="Q20" s="241" t="s">
        <v>610</v>
      </c>
      <c r="R20" s="241" t="s">
        <v>610</v>
      </c>
      <c r="S20" s="240" t="s">
        <v>8</v>
      </c>
      <c r="T20" s="241">
        <f t="shared" si="13"/>
        <v>0.6</v>
      </c>
      <c r="U20" s="243" t="str">
        <f t="shared" si="14"/>
        <v>Alto</v>
      </c>
      <c r="V20" s="244">
        <v>9</v>
      </c>
      <c r="W20" s="422" t="s">
        <v>1288</v>
      </c>
      <c r="X20" s="244" t="str">
        <f t="shared" ref="X20:X37" si="15">IF(OR(Y20="Preventivo",Y20="Detectivo"),"Probabilidad",IF(Y20="Correctivo","Impacto",""))</f>
        <v>Probabilidad</v>
      </c>
      <c r="Y20" s="410" t="s">
        <v>187</v>
      </c>
      <c r="Z20" s="410" t="s">
        <v>188</v>
      </c>
      <c r="AA20" s="246" t="str">
        <f t="shared" ref="AA20:AA23" si="16">IF(AND(Y20="Preventivo",Z20="Automático"),"50%",IF(AND(Y20="Preventivo",Z20="Manual"),"40%",IF(AND(Y20="Detectivo",Z20="Automático"),"40%",IF(AND(Y20="Detectivo",Z20="Manual"),"30%",IF(AND(Y20="Correctivo",Z20="Automático"),"35%",IF(AND(Y20="Correctivo",Z20="Manual"),"25%",""))))))</f>
        <v>40%</v>
      </c>
      <c r="AB20" s="410" t="s">
        <v>222</v>
      </c>
      <c r="AC20" s="410" t="s">
        <v>190</v>
      </c>
      <c r="AD20" s="410" t="s">
        <v>191</v>
      </c>
      <c r="AE20" s="411">
        <f>IFERROR(IF(AND(X18="Probabilidad",X20="Probabilidad"),(AG18-(+AG18*AA20)),IF(AND(X18="Impacto",X20="Probabilidad"),(AG16-(+AG16*AA20)),IF(X20="Impacto",AG18,""))),"")</f>
        <v>2.2394879999999992E-2</v>
      </c>
      <c r="AF20" s="248" t="str">
        <f t="shared" ref="AF20:AF33" si="17">IFERROR(IF(AE20="","",IF(AE20&lt;=0.2,"Muy Baja",IF(AE20&lt;=0.4,"Baja",IF(AE20&lt;=0.6,"Media",IF(AE20&lt;=0.8,"Alta","Muy Alta"))))),"")</f>
        <v>Muy Baja</v>
      </c>
      <c r="AG20" s="249">
        <f t="shared" ref="AG20:AG33" si="18">+AE20</f>
        <v>2.2394879999999992E-2</v>
      </c>
      <c r="AH20" s="248" t="str">
        <f t="shared" ref="AH20:AH33" si="19">IFERROR(IF(AI20="","",IF(AI20&lt;=0.2,"Leve",IF(AI20&lt;=0.4,"Menor",IF(AI20&lt;=0.6,"Moderado",IF(AI20&lt;=0.8,"Mayor","Catastrófico"))))),"")</f>
        <v>Moderado</v>
      </c>
      <c r="AI20" s="249">
        <f>IFERROR(IF(AND(X18="Impacto",X20="Impacto"),(AI18-(+AI18*AA20)),IF(AND(X18="Probabilidad",X20="Impacto"),(AI16-(+AI16*AA20)),IF(X20="Probabilidad",AI18,""))),"")</f>
        <v>0.6</v>
      </c>
      <c r="AJ20" s="250" t="str">
        <f t="shared" ref="AJ20:AJ33" si="20">IFERROR(IF(OR(AND(AF20="Muy Baja",AH20="Leve"),AND(AF20="Muy Baja",AH20="Menor"),AND(AF20="Baja",AH20="Leve")),"Bajo",IF(OR(AND(AF20="Muy baja",AH20="Moderado"),AND(AF20="Baja",AH20="Menor"),AND(AF20="Baja",AH20="Moderado"),AND(AF20="Media",AH20="Leve"),AND(AF20="Media",AH20="Menor"),AND(AF20="Media",AH20="Moderado"),AND(AF20="Alta",AH20="Leve"),AND(AF20="Alta",AH20="Menor")),"Moderado",IF(OR(AND(AF20="Muy Baja",AH20="Mayor"),AND(AF20="Baja",AH20="Mayor"),AND(AF20="Media",AH20="Mayor"),AND(AF20="Alta",AH20="Moderado"),AND(AF20="Alta",AH20="Mayor"),AND(AF20="Muy Alta",AH20="Leve"),AND(AF20="Muy Alta",AH20="Menor"),AND(AF20="Muy Alta",AH20="Moderado"),AND(AF20="Muy Alta",AH20="Mayor")),"Alto",IF(OR(AND(AF20="Muy Baja",AH20="Catastrófico"),AND(AF20="Baja",AH20="Catastrófico"),AND(AF20="Media",AH20="Catastrófico"),AND(AF20="Alta",AH20="Catastrófico"),AND(AF20="Muy Alta",AH20="Catastrófico")),"Extremo","")))),"")</f>
        <v>Moderado</v>
      </c>
      <c r="AK20" s="412" t="s">
        <v>192</v>
      </c>
      <c r="AL20" s="413"/>
      <c r="AM20" s="244"/>
      <c r="AN20" s="423"/>
      <c r="AO20" s="839"/>
      <c r="AP20" s="413"/>
    </row>
    <row r="21" spans="1:42" ht="350.1" customHeight="1" x14ac:dyDescent="0.2">
      <c r="A21" s="418">
        <v>3</v>
      </c>
      <c r="B21" s="405" t="s">
        <v>1265</v>
      </c>
      <c r="C21" s="406" t="s">
        <v>482</v>
      </c>
      <c r="D21" s="406">
        <v>0</v>
      </c>
      <c r="E21" s="406">
        <v>0</v>
      </c>
      <c r="F21" s="408" t="s">
        <v>1266</v>
      </c>
      <c r="G21" s="408" t="s">
        <v>1266</v>
      </c>
      <c r="H21" s="406" t="s">
        <v>445</v>
      </c>
      <c r="I21" s="419" t="s">
        <v>1267</v>
      </c>
      <c r="J21" s="406" t="s">
        <v>1268</v>
      </c>
      <c r="K21" s="406" t="s">
        <v>1269</v>
      </c>
      <c r="L21" s="408" t="s">
        <v>1236</v>
      </c>
      <c r="M21" s="408" t="s">
        <v>1237</v>
      </c>
      <c r="N21" s="404">
        <v>700</v>
      </c>
      <c r="O21" s="420" t="str">
        <f t="shared" si="11"/>
        <v>Alta</v>
      </c>
      <c r="P21" s="241">
        <f t="shared" si="12"/>
        <v>0.8</v>
      </c>
      <c r="Q21" s="241" t="s">
        <v>610</v>
      </c>
      <c r="R21" s="241" t="s">
        <v>610</v>
      </c>
      <c r="S21" s="240" t="s">
        <v>8</v>
      </c>
      <c r="T21" s="241">
        <f t="shared" si="13"/>
        <v>0.6</v>
      </c>
      <c r="U21" s="243" t="str">
        <f t="shared" si="14"/>
        <v>Alto</v>
      </c>
      <c r="V21" s="244">
        <v>10</v>
      </c>
      <c r="W21" s="435" t="s">
        <v>1289</v>
      </c>
      <c r="X21" s="244" t="str">
        <f t="shared" si="15"/>
        <v>Probabilidad</v>
      </c>
      <c r="Y21" s="410" t="s">
        <v>187</v>
      </c>
      <c r="Z21" s="410" t="s">
        <v>188</v>
      </c>
      <c r="AA21" s="246" t="str">
        <f t="shared" si="16"/>
        <v>40%</v>
      </c>
      <c r="AB21" s="410" t="s">
        <v>222</v>
      </c>
      <c r="AC21" s="410" t="s">
        <v>190</v>
      </c>
      <c r="AD21" s="410" t="s">
        <v>191</v>
      </c>
      <c r="AE21" s="411">
        <f>IFERROR(IF(AND(X20="Probabilidad",X21="Probabilidad"),(AG20-(+AG20*AA21)),IF(AND(X20="Impacto",X21="Probabilidad"),(AG16-(+AG16*AA21)),IF(X21="Impacto",AG20,""))),"")</f>
        <v>1.3436927999999996E-2</v>
      </c>
      <c r="AF21" s="248" t="str">
        <f t="shared" si="17"/>
        <v>Muy Baja</v>
      </c>
      <c r="AG21" s="249">
        <f t="shared" si="18"/>
        <v>1.3436927999999996E-2</v>
      </c>
      <c r="AH21" s="248" t="str">
        <f t="shared" si="19"/>
        <v>Moderado</v>
      </c>
      <c r="AI21" s="249">
        <f>IFERROR(IF(AND(X20="Impacto",X21="Impacto"),(AI20-(+AI20*AA21)),IF(AND(X20="Probabilidad",X21="Impacto"),(AI16-(+AI16*AA21)),IF(X21="Probabilidad",AI20,""))),"")</f>
        <v>0.6</v>
      </c>
      <c r="AJ21" s="250" t="str">
        <f t="shared" si="20"/>
        <v>Moderado</v>
      </c>
      <c r="AK21" s="412" t="s">
        <v>192</v>
      </c>
      <c r="AL21" s="413"/>
      <c r="AM21" s="244"/>
      <c r="AN21" s="423"/>
      <c r="AO21" s="840"/>
      <c r="AP21" s="413"/>
    </row>
    <row r="22" spans="1:42" ht="327" customHeight="1" x14ac:dyDescent="0.2">
      <c r="A22" s="404">
        <v>4</v>
      </c>
      <c r="B22" s="405" t="s">
        <v>1290</v>
      </c>
      <c r="C22" s="406" t="s">
        <v>482</v>
      </c>
      <c r="D22" s="406">
        <v>0</v>
      </c>
      <c r="E22" s="406">
        <v>0</v>
      </c>
      <c r="F22" s="406">
        <v>22.23</v>
      </c>
      <c r="G22" s="406">
        <v>22.23</v>
      </c>
      <c r="H22" s="406" t="s">
        <v>445</v>
      </c>
      <c r="I22" s="406" t="s">
        <v>1291</v>
      </c>
      <c r="J22" s="406" t="s">
        <v>1292</v>
      </c>
      <c r="K22" s="406" t="s">
        <v>1293</v>
      </c>
      <c r="L22" s="406" t="s">
        <v>1236</v>
      </c>
      <c r="M22" s="406" t="s">
        <v>1237</v>
      </c>
      <c r="N22" s="405">
        <v>25</v>
      </c>
      <c r="O22" s="829" t="str">
        <f>IF(N22&lt;=0,"",IF(N22&lt;=2,"Muy Baja",IF(N22&lt;=24,"Baja",IF(N22&lt;=500,"Media",IF(N22&lt;=5000,"Alta","Muy Alta")))))</f>
        <v>Media</v>
      </c>
      <c r="P22" s="822">
        <f>IF(O22="","",IF(O22="Muy Baja",0.2,IF(O22="Baja",0.4,IF(O22="Media",0.6,IF(O22="Alta",0.8,IF(O22="Muy Alta",1,))))))</f>
        <v>0.6</v>
      </c>
      <c r="Q22" s="822" t="s">
        <v>769</v>
      </c>
      <c r="R22" s="822" t="s">
        <v>769</v>
      </c>
      <c r="S22" s="833" t="s">
        <v>281</v>
      </c>
      <c r="T22" s="822">
        <f>IF(S22="","",IF(S22="Leve",0.2,IF(S22="Menor",0.4,IF(S22="Moderado",0.6,IF(S22="Mayor",0.8,IF(S22="Catastrófico",1,))))))</f>
        <v>0.8</v>
      </c>
      <c r="U22" s="836" t="str">
        <f>IF(OR(AND(O22="Muy Baja",S22="Leve"),AND(O22="Muy Baja",S22="Menor"),AND(O22="Baja",S22="Leve")),"Bajo",IF(OR(AND(O22="Muy baja",S22="Moderado"),AND(O22="Baja",S22="Menor"),AND(O22="Baja",S22="Moderado"),AND(O22="Media",S22="Leve"),AND(O22="Media",S22="Menor"),AND(O22="Media",S22="Moderado"),AND(O22="Alta",S22="Leve"),AND(O22="Alta",S22="Menor")),"Moderado",IF(OR(AND(O22="Muy Baja",S22="Mayor"),AND(O22="Baja",S22="Mayor"),AND(O22="Media",S22="Mayor"),AND(O22="Alta",S22="Moderado"),AND(O22="Alta",S22="Mayor"),AND(O22="Muy Alta",S22="Leve"),AND(O22="Muy Alta",S22="Menor"),AND(O22="Muy Alta",S22="Moderado"),AND(O22="Muy Alta",S22="Mayor")),"Alto",IF(OR(AND(O22="Muy Baja",S22="Catastrófico"),AND(O22="Baja",S22="Catastrófico"),AND(O22="Media",S22="Catastrófico"),AND(O22="Alta",S22="Catastrófico"),AND(O22="Muy Alta",S22="Catastrófico")),"Extremo",""))))</f>
        <v>Alto</v>
      </c>
      <c r="V22" s="244">
        <v>1</v>
      </c>
      <c r="W22" s="435" t="s">
        <v>1294</v>
      </c>
      <c r="X22" s="244" t="str">
        <f t="shared" si="15"/>
        <v>Probabilidad</v>
      </c>
      <c r="Y22" s="410" t="s">
        <v>187</v>
      </c>
      <c r="Z22" s="410" t="s">
        <v>188</v>
      </c>
      <c r="AA22" s="246" t="str">
        <f t="shared" si="16"/>
        <v>40%</v>
      </c>
      <c r="AB22" s="410" t="s">
        <v>222</v>
      </c>
      <c r="AC22" s="410" t="s">
        <v>190</v>
      </c>
      <c r="AD22" s="410" t="s">
        <v>191</v>
      </c>
      <c r="AE22" s="411">
        <f>IFERROR(IF(AND(X20="Probabilidad",X22="Probabilidad"),(AG20-(+AG20*AA22)),IF(AND(X20="Impacto",X22="Probabilidad"),(AG17-(+AG17*AA22)),IF(X22="Impacto",AG20,""))),"")</f>
        <v>1.3436927999999996E-2</v>
      </c>
      <c r="AF22" s="248" t="str">
        <f t="shared" si="17"/>
        <v>Muy Baja</v>
      </c>
      <c r="AG22" s="249">
        <f t="shared" si="18"/>
        <v>1.3436927999999996E-2</v>
      </c>
      <c r="AH22" s="248" t="str">
        <f t="shared" si="19"/>
        <v>Moderado</v>
      </c>
      <c r="AI22" s="249">
        <f>IFERROR(IF(AND(X20="Impacto",X22="Impacto"),(AI20-(+AI20*AA22)),IF(AND(X20="Probabilidad",X22="Impacto"),(AI17-(+AI17*AA22)),IF(X22="Probabilidad",AI20,""))),"")</f>
        <v>0.6</v>
      </c>
      <c r="AJ22" s="250" t="str">
        <f t="shared" si="20"/>
        <v>Moderado</v>
      </c>
      <c r="AK22" s="412" t="s">
        <v>192</v>
      </c>
      <c r="AL22" s="238"/>
      <c r="AM22" s="436"/>
      <c r="AN22" s="238"/>
      <c r="AO22" s="838" t="s">
        <v>1295</v>
      </c>
      <c r="AP22" s="413"/>
    </row>
    <row r="23" spans="1:42" ht="237" customHeight="1" x14ac:dyDescent="0.2">
      <c r="A23" s="404">
        <v>4</v>
      </c>
      <c r="B23" s="405" t="s">
        <v>1290</v>
      </c>
      <c r="C23" s="406" t="s">
        <v>482</v>
      </c>
      <c r="D23" s="406">
        <v>0</v>
      </c>
      <c r="E23" s="406">
        <v>0</v>
      </c>
      <c r="F23" s="406">
        <v>22.23</v>
      </c>
      <c r="G23" s="406">
        <v>22.23</v>
      </c>
      <c r="H23" s="406" t="s">
        <v>445</v>
      </c>
      <c r="I23" s="406" t="s">
        <v>1291</v>
      </c>
      <c r="J23" s="406" t="s">
        <v>1292</v>
      </c>
      <c r="K23" s="406" t="s">
        <v>1293</v>
      </c>
      <c r="L23" s="406" t="s">
        <v>1236</v>
      </c>
      <c r="M23" s="406" t="s">
        <v>1237</v>
      </c>
      <c r="N23" s="405">
        <v>25</v>
      </c>
      <c r="O23" s="830"/>
      <c r="P23" s="823"/>
      <c r="Q23" s="823"/>
      <c r="R23" s="823"/>
      <c r="S23" s="834"/>
      <c r="T23" s="823"/>
      <c r="U23" s="837"/>
      <c r="V23" s="244">
        <v>2</v>
      </c>
      <c r="W23" s="435" t="s">
        <v>1296</v>
      </c>
      <c r="X23" s="244" t="str">
        <f t="shared" si="15"/>
        <v>Probabilidad</v>
      </c>
      <c r="Y23" s="410" t="s">
        <v>187</v>
      </c>
      <c r="Z23" s="410" t="s">
        <v>188</v>
      </c>
      <c r="AA23" s="246" t="str">
        <f t="shared" si="16"/>
        <v>40%</v>
      </c>
      <c r="AB23" s="410" t="s">
        <v>222</v>
      </c>
      <c r="AC23" s="410" t="s">
        <v>190</v>
      </c>
      <c r="AD23" s="410" t="s">
        <v>191</v>
      </c>
      <c r="AE23" s="411">
        <f>IFERROR(IF(AND(X22="Probabilidad",X23="Probabilidad"),(AG22-(+AG22*AA23)),IF(AND(X22="Impacto",X23="Probabilidad"),(AG18-(+AG18*AA23)),IF(X23="Impacto",AG22,""))),"")</f>
        <v>8.0621567999999977E-3</v>
      </c>
      <c r="AF23" s="248" t="str">
        <f t="shared" si="17"/>
        <v>Muy Baja</v>
      </c>
      <c r="AG23" s="249">
        <f t="shared" si="18"/>
        <v>8.0621567999999977E-3</v>
      </c>
      <c r="AH23" s="248" t="str">
        <f t="shared" si="19"/>
        <v>Moderado</v>
      </c>
      <c r="AI23" s="249">
        <f>IFERROR(IF(AND(X22="Impacto",X23="Impacto"),(AI22-(+AI22*AA23)),IF(AND(X22="Probabilidad",X23="Impacto"),(AI18-(+AI18*AA23)),IF(X23="Probabilidad",AI22,""))),"")</f>
        <v>0.6</v>
      </c>
      <c r="AJ23" s="250" t="str">
        <f t="shared" si="20"/>
        <v>Moderado</v>
      </c>
      <c r="AK23" s="412" t="s">
        <v>192</v>
      </c>
      <c r="AL23" s="413" t="s">
        <v>1297</v>
      </c>
      <c r="AM23" s="244" t="s">
        <v>1298</v>
      </c>
      <c r="AN23" s="423">
        <v>46022</v>
      </c>
      <c r="AO23" s="839"/>
      <c r="AP23" s="413"/>
    </row>
    <row r="24" spans="1:42" ht="236.25" customHeight="1" x14ac:dyDescent="0.2">
      <c r="A24" s="404">
        <v>4</v>
      </c>
      <c r="B24" s="405" t="s">
        <v>1290</v>
      </c>
      <c r="C24" s="406" t="s">
        <v>482</v>
      </c>
      <c r="D24" s="406">
        <v>0</v>
      </c>
      <c r="E24" s="406">
        <v>0</v>
      </c>
      <c r="F24" s="406">
        <v>22.23</v>
      </c>
      <c r="G24" s="406">
        <v>22.23</v>
      </c>
      <c r="H24" s="406" t="s">
        <v>445</v>
      </c>
      <c r="I24" s="406" t="s">
        <v>1291</v>
      </c>
      <c r="J24" s="406" t="s">
        <v>1292</v>
      </c>
      <c r="K24" s="406" t="s">
        <v>1293</v>
      </c>
      <c r="L24" s="406" t="s">
        <v>1236</v>
      </c>
      <c r="M24" s="406" t="s">
        <v>1237</v>
      </c>
      <c r="N24" s="405">
        <v>25</v>
      </c>
      <c r="O24" s="831"/>
      <c r="P24" s="832"/>
      <c r="Q24" s="832"/>
      <c r="R24" s="832"/>
      <c r="S24" s="835"/>
      <c r="T24" s="823"/>
      <c r="U24" s="837"/>
      <c r="V24" s="244">
        <v>3</v>
      </c>
      <c r="W24" s="437" t="s">
        <v>1299</v>
      </c>
      <c r="X24" s="244" t="str">
        <f t="shared" si="15"/>
        <v>Probabilidad</v>
      </c>
      <c r="Y24" s="410" t="s">
        <v>228</v>
      </c>
      <c r="Z24" s="410" t="s">
        <v>188</v>
      </c>
      <c r="AA24" s="246" t="str">
        <f>IF(AND(Y24="Preventivo",Z24="Automático"),"50%",IF(AND(Y24="Preventivo",Z24="Manual"),"40%",IF(AND(Y24="Detectivo",Z24="Automático"),"40%",IF(AND(Y24="Detectivo",Z24="Manual"),"30%",IF(AND(Y24="Correctivo",Z24="Automático"),"35%",IF(AND(Y24="Correctivo",Z24="Manual"),"25%",""))))))</f>
        <v>30%</v>
      </c>
      <c r="AB24" s="410" t="s">
        <v>222</v>
      </c>
      <c r="AC24" s="410" t="s">
        <v>190</v>
      </c>
      <c r="AD24" s="410" t="s">
        <v>191</v>
      </c>
      <c r="AE24" s="411">
        <f>IFERROR(IF(AND(X23="Probabilidad",X24="Probabilidad"),(AG23-(+AG23*AA24)),IF(AND(X23="Impacto",X24="Probabilidad"),(AG22-(+AG22*AA24)),IF(X24="Impacto",AG23,""))),"")</f>
        <v>5.6435097599999984E-3</v>
      </c>
      <c r="AF24" s="248" t="str">
        <f t="shared" si="17"/>
        <v>Muy Baja</v>
      </c>
      <c r="AG24" s="249">
        <f t="shared" si="18"/>
        <v>5.6435097599999984E-3</v>
      </c>
      <c r="AH24" s="248" t="str">
        <f t="shared" si="19"/>
        <v>Moderado</v>
      </c>
      <c r="AI24" s="249">
        <f>IFERROR(IF(AND(X23="Impacto",X24="Impacto"),(AI23-(+AI23*AA24)),IF(AND(X23="Probabilidad",X24="Impacto"),(AI22-(+AI22*AA24)),IF(X24="Probabilidad",AI23,""))),"")</f>
        <v>0.6</v>
      </c>
      <c r="AJ24" s="250" t="str">
        <f t="shared" si="20"/>
        <v>Moderado</v>
      </c>
      <c r="AK24" s="412"/>
      <c r="AL24" s="413"/>
      <c r="AM24" s="244"/>
      <c r="AN24" s="423"/>
      <c r="AO24" s="840"/>
      <c r="AP24" s="413"/>
    </row>
    <row r="25" spans="1:42" ht="15" customHeight="1" x14ac:dyDescent="0.2">
      <c r="H25" s="252"/>
      <c r="O25" s="252"/>
      <c r="P25" s="252"/>
      <c r="Q25" s="252"/>
      <c r="R25" s="242" t="str">
        <f>IF(NOT(ISERROR(MATCH(Q25,'[3]Tabla Impacto'!$B$222:$B$224,0))),'[3]Tabla Impacto'!$F$224&amp;"Por favor no seleccionar los criterios de impacto(Afectación Económica o presupuestal y Pérdida Reputacional)",Q25)</f>
        <v>❌Por favor no seleccionar los criterios de impacto(Afectación Económica o presupuestal y Pérdida Reputacional)</v>
      </c>
      <c r="S25" s="240" t="str">
        <f>IF(OR(R25='[3]Tabla Impacto'!$C$12,R25='[3]Tabla Impacto'!$D$12),"Leve",IF(OR(R25='[3]Tabla Impacto'!$C$13,R25='[3]Tabla Impacto'!$D$13),"Menor",IF(OR(R25='[3]Tabla Impacto'!$C$14,R25='[3]Tabla Impacto'!$D$14),"Moderado",IF(OR(R25='[3]Tabla Impacto'!$C$15,R25='[3]Tabla Impacto'!$D$15),"Mayor",IF(OR(R25='[3]Tabla Impacto'!$C$16,R25='[3]Tabla Impacto'!$D$16),"Catastrófico","")))))</f>
        <v/>
      </c>
      <c r="T25" s="241" t="str">
        <f t="shared" ref="T25:T37" si="21">IF(S25="","",IF(S25="Leve",0.2,IF(S25="Menor",0.4,IF(S25="Moderado",0.6,IF(S25="Mayor",0.8,IF(S25="Catastrófico",1,))))))</f>
        <v/>
      </c>
      <c r="U25" s="243" t="str">
        <f t="shared" ref="U25:U36" si="22">IF(OR(AND(O25="Muy Baja",S25="Leve"),AND(O25="Muy Baja",S25="Menor"),AND(O25="Baja",S25="Leve")),"Bajo",IF(OR(AND(O25="Muy baja",S25="Moderado"),AND(O25="Baja",S25="Menor"),AND(O25="Baja",S25="Moderado"),AND(O25="Media",S25="Leve"),AND(O25="Media",S25="Menor"),AND(O25="Media",S25="Moderado"),AND(O25="Alta",S25="Leve"),AND(O25="Alta",S25="Menor")),"Moderado",IF(OR(AND(O25="Muy Baja",S25="Mayor"),AND(O25="Baja",S25="Mayor"),AND(O25="Media",S25="Mayor"),AND(O25="Alta",S25="Moderado"),AND(O25="Alta",S25="Mayor"),AND(O25="Muy Alta",S25="Leve"),AND(O25="Muy Alta",S25="Menor"),AND(O25="Muy Alta",S25="Moderado"),AND(O25="Muy Alta",S25="Mayor")),"Alto",IF(OR(AND(O25="Muy Baja",S25="Catastrófico"),AND(O25="Baja",S25="Catastrófico"),AND(O25="Media",S25="Catastrófico"),AND(O25="Alta",S25="Catastrófico"),AND(O25="Muy Alta",S25="Catastrófico")),"Extremo",""))))</f>
        <v/>
      </c>
      <c r="X25" s="244" t="str">
        <f t="shared" si="15"/>
        <v>Probabilidad</v>
      </c>
      <c r="Y25" s="245" t="s">
        <v>187</v>
      </c>
      <c r="Z25" s="245" t="s">
        <v>188</v>
      </c>
      <c r="AA25" s="246" t="str">
        <f t="shared" ref="AA25:AA33" si="23">IF(AND(Y25="Preventivo",Z25="Automático"),"50%",IF(AND(Y25="Preventivo",Z25="Manual"),"40%",IF(AND(Y25="Detectivo",Z25="Automático"),"40%",IF(AND(Y25="Detectivo",Z25="Manual"),"30%",IF(AND(Y25="Correctivo",Z25="Automático"),"35%",IF(AND(Y25="Correctivo",Z25="Manual"),"25%",""))))))</f>
        <v>40%</v>
      </c>
      <c r="AB25" s="245" t="s">
        <v>222</v>
      </c>
      <c r="AC25" s="245" t="s">
        <v>190</v>
      </c>
      <c r="AD25" s="245" t="s">
        <v>191</v>
      </c>
      <c r="AE25" s="247">
        <f t="shared" ref="AE25:AE33" si="24">IFERROR(IF(AND(X24="Probabilidad",X25="Probabilidad"),(AG24-(+AG24*AA25)),IF(X25="Probabilidad",(P24-(+P24*AA25)),IF(X25="Impacto",AG24,""))),"")</f>
        <v>3.3861058559999991E-3</v>
      </c>
      <c r="AF25" s="248" t="str">
        <f t="shared" si="17"/>
        <v>Muy Baja</v>
      </c>
      <c r="AG25" s="249">
        <f t="shared" si="18"/>
        <v>3.3861058559999991E-3</v>
      </c>
      <c r="AH25" s="248" t="str">
        <f t="shared" si="19"/>
        <v/>
      </c>
      <c r="AI25" s="249" t="str">
        <f t="shared" ref="AI25:AI33" si="25">IFERROR(IF(X25="Impacto",(T25-(+T25*AA25)),IF(X25="Probabilidad",T25,"")),"")</f>
        <v/>
      </c>
      <c r="AJ25" s="250" t="str">
        <f t="shared" si="20"/>
        <v/>
      </c>
      <c r="AK25" s="251" t="s">
        <v>192</v>
      </c>
    </row>
    <row r="26" spans="1:42" ht="15" customHeight="1" x14ac:dyDescent="0.2">
      <c r="H26" s="252"/>
      <c r="O26" s="252"/>
      <c r="P26" s="252"/>
      <c r="Q26" s="252"/>
      <c r="R26" s="242" t="str">
        <f>IF(NOT(ISERROR(MATCH(Q26,'[3]Tabla Impacto'!$B$222:$B$224,0))),'[3]Tabla Impacto'!$F$224&amp;"Por favor no seleccionar los criterios de impacto(Afectación Económica o presupuestal y Pérdida Reputacional)",Q26)</f>
        <v>❌Por favor no seleccionar los criterios de impacto(Afectación Económica o presupuestal y Pérdida Reputacional)</v>
      </c>
      <c r="S26" s="240" t="str">
        <f>IF(OR(R26='[3]Tabla Impacto'!$C$12,R26='[3]Tabla Impacto'!$D$12),"Leve",IF(OR(R26='[3]Tabla Impacto'!$C$13,R26='[3]Tabla Impacto'!$D$13),"Menor",IF(OR(R26='[3]Tabla Impacto'!$C$14,R26='[3]Tabla Impacto'!$D$14),"Moderado",IF(OR(R26='[3]Tabla Impacto'!$C$15,R26='[3]Tabla Impacto'!$D$15),"Mayor",IF(OR(R26='[3]Tabla Impacto'!$C$16,R26='[3]Tabla Impacto'!$D$16),"Catastrófico","")))))</f>
        <v/>
      </c>
      <c r="T26" s="241" t="str">
        <f t="shared" si="21"/>
        <v/>
      </c>
      <c r="U26" s="243" t="str">
        <f t="shared" si="22"/>
        <v/>
      </c>
      <c r="X26" s="244" t="str">
        <f t="shared" si="15"/>
        <v>Probabilidad</v>
      </c>
      <c r="Y26" s="245" t="s">
        <v>187</v>
      </c>
      <c r="Z26" s="245" t="s">
        <v>188</v>
      </c>
      <c r="AA26" s="246" t="str">
        <f t="shared" si="23"/>
        <v>40%</v>
      </c>
      <c r="AB26" s="245" t="s">
        <v>222</v>
      </c>
      <c r="AC26" s="245" t="s">
        <v>190</v>
      </c>
      <c r="AD26" s="245" t="s">
        <v>191</v>
      </c>
      <c r="AE26" s="247">
        <f t="shared" si="24"/>
        <v>2.0316635135999993E-3</v>
      </c>
      <c r="AF26" s="248" t="str">
        <f t="shared" si="17"/>
        <v>Muy Baja</v>
      </c>
      <c r="AG26" s="249">
        <f t="shared" si="18"/>
        <v>2.0316635135999993E-3</v>
      </c>
      <c r="AH26" s="248" t="str">
        <f t="shared" si="19"/>
        <v/>
      </c>
      <c r="AI26" s="249" t="str">
        <f t="shared" si="25"/>
        <v/>
      </c>
      <c r="AJ26" s="250" t="str">
        <f t="shared" si="20"/>
        <v/>
      </c>
      <c r="AK26" s="251" t="s">
        <v>192</v>
      </c>
    </row>
    <row r="27" spans="1:42" ht="15" customHeight="1" x14ac:dyDescent="0.2">
      <c r="H27" s="252"/>
      <c r="O27" s="252"/>
      <c r="P27" s="252"/>
      <c r="Q27" s="252"/>
      <c r="R27" s="242" t="str">
        <f>IF(NOT(ISERROR(MATCH(Q27,'[3]Tabla Impacto'!$B$222:$B$224,0))),'[3]Tabla Impacto'!$F$224&amp;"Por favor no seleccionar los criterios de impacto(Afectación Económica o presupuestal y Pérdida Reputacional)",Q27)</f>
        <v>❌Por favor no seleccionar los criterios de impacto(Afectación Económica o presupuestal y Pérdida Reputacional)</v>
      </c>
      <c r="S27" s="240" t="str">
        <f>IF(OR(R27='[3]Tabla Impacto'!$C$12,R27='[3]Tabla Impacto'!$D$12),"Leve",IF(OR(R27='[3]Tabla Impacto'!$C$13,R27='[3]Tabla Impacto'!$D$13),"Menor",IF(OR(R27='[3]Tabla Impacto'!$C$14,R27='[3]Tabla Impacto'!$D$14),"Moderado",IF(OR(R27='[3]Tabla Impacto'!$C$15,R27='[3]Tabla Impacto'!$D$15),"Mayor",IF(OR(R27='[3]Tabla Impacto'!$C$16,R27='[3]Tabla Impacto'!$D$16),"Catastrófico","")))))</f>
        <v/>
      </c>
      <c r="T27" s="241" t="str">
        <f t="shared" si="21"/>
        <v/>
      </c>
      <c r="U27" s="243" t="str">
        <f t="shared" si="22"/>
        <v/>
      </c>
      <c r="X27" s="244" t="str">
        <f t="shared" si="15"/>
        <v>Probabilidad</v>
      </c>
      <c r="Y27" s="245" t="s">
        <v>187</v>
      </c>
      <c r="Z27" s="245" t="s">
        <v>188</v>
      </c>
      <c r="AA27" s="246" t="str">
        <f t="shared" si="23"/>
        <v>40%</v>
      </c>
      <c r="AB27" s="245" t="s">
        <v>222</v>
      </c>
      <c r="AC27" s="245" t="s">
        <v>190</v>
      </c>
      <c r="AD27" s="245" t="s">
        <v>191</v>
      </c>
      <c r="AE27" s="247">
        <f t="shared" si="24"/>
        <v>1.2189981081599994E-3</v>
      </c>
      <c r="AF27" s="248" t="str">
        <f t="shared" si="17"/>
        <v>Muy Baja</v>
      </c>
      <c r="AG27" s="249">
        <f t="shared" si="18"/>
        <v>1.2189981081599994E-3</v>
      </c>
      <c r="AH27" s="248" t="str">
        <f t="shared" si="19"/>
        <v/>
      </c>
      <c r="AI27" s="249" t="str">
        <f t="shared" si="25"/>
        <v/>
      </c>
      <c r="AJ27" s="250" t="str">
        <f t="shared" si="20"/>
        <v/>
      </c>
      <c r="AK27" s="251" t="s">
        <v>192</v>
      </c>
    </row>
    <row r="28" spans="1:42" ht="15" customHeight="1" x14ac:dyDescent="0.2">
      <c r="H28" s="252"/>
      <c r="O28" s="252"/>
      <c r="P28" s="252"/>
      <c r="Q28" s="252"/>
      <c r="R28" s="242" t="str">
        <f>IF(NOT(ISERROR(MATCH(Q28,'[3]Tabla Impacto'!$B$222:$B$224,0))),'[3]Tabla Impacto'!$F$224&amp;"Por favor no seleccionar los criterios de impacto(Afectación Económica o presupuestal y Pérdida Reputacional)",Q28)</f>
        <v>❌Por favor no seleccionar los criterios de impacto(Afectación Económica o presupuestal y Pérdida Reputacional)</v>
      </c>
      <c r="S28" s="240" t="str">
        <f>IF(OR(R28='[3]Tabla Impacto'!$C$12,R28='[3]Tabla Impacto'!$D$12),"Leve",IF(OR(R28='[3]Tabla Impacto'!$C$13,R28='[3]Tabla Impacto'!$D$13),"Menor",IF(OR(R28='[3]Tabla Impacto'!$C$14,R28='[3]Tabla Impacto'!$D$14),"Moderado",IF(OR(R28='[3]Tabla Impacto'!$C$15,R28='[3]Tabla Impacto'!$D$15),"Mayor",IF(OR(R28='[3]Tabla Impacto'!$C$16,R28='[3]Tabla Impacto'!$D$16),"Catastrófico","")))))</f>
        <v/>
      </c>
      <c r="T28" s="241" t="str">
        <f t="shared" si="21"/>
        <v/>
      </c>
      <c r="U28" s="243" t="str">
        <f t="shared" si="22"/>
        <v/>
      </c>
      <c r="X28" s="244" t="str">
        <f t="shared" si="15"/>
        <v>Probabilidad</v>
      </c>
      <c r="Y28" s="245" t="s">
        <v>187</v>
      </c>
      <c r="Z28" s="245" t="s">
        <v>188</v>
      </c>
      <c r="AA28" s="246" t="str">
        <f t="shared" si="23"/>
        <v>40%</v>
      </c>
      <c r="AB28" s="245" t="s">
        <v>222</v>
      </c>
      <c r="AC28" s="245" t="s">
        <v>190</v>
      </c>
      <c r="AD28" s="245" t="s">
        <v>191</v>
      </c>
      <c r="AE28" s="247">
        <f t="shared" si="24"/>
        <v>7.3139886489599962E-4</v>
      </c>
      <c r="AF28" s="248" t="str">
        <f t="shared" si="17"/>
        <v>Muy Baja</v>
      </c>
      <c r="AG28" s="249">
        <f t="shared" si="18"/>
        <v>7.3139886489599962E-4</v>
      </c>
      <c r="AH28" s="248" t="str">
        <f t="shared" si="19"/>
        <v/>
      </c>
      <c r="AI28" s="249" t="str">
        <f t="shared" si="25"/>
        <v/>
      </c>
      <c r="AJ28" s="250" t="str">
        <f t="shared" si="20"/>
        <v/>
      </c>
      <c r="AK28" s="251" t="s">
        <v>192</v>
      </c>
    </row>
    <row r="29" spans="1:42" ht="15" customHeight="1" x14ac:dyDescent="0.2">
      <c r="H29" s="252"/>
      <c r="O29" s="252"/>
      <c r="P29" s="252"/>
      <c r="Q29" s="252"/>
      <c r="R29" s="242" t="str">
        <f>IF(NOT(ISERROR(MATCH(Q29,'[3]Tabla Impacto'!$B$222:$B$224,0))),'[3]Tabla Impacto'!$F$224&amp;"Por favor no seleccionar los criterios de impacto(Afectación Económica o presupuestal y Pérdida Reputacional)",Q29)</f>
        <v>❌Por favor no seleccionar los criterios de impacto(Afectación Económica o presupuestal y Pérdida Reputacional)</v>
      </c>
      <c r="S29" s="240" t="str">
        <f>IF(OR(R29='[3]Tabla Impacto'!$C$12,R29='[3]Tabla Impacto'!$D$12),"Leve",IF(OR(R29='[3]Tabla Impacto'!$C$13,R29='[3]Tabla Impacto'!$D$13),"Menor",IF(OR(R29='[3]Tabla Impacto'!$C$14,R29='[3]Tabla Impacto'!$D$14),"Moderado",IF(OR(R29='[3]Tabla Impacto'!$C$15,R29='[3]Tabla Impacto'!$D$15),"Mayor",IF(OR(R29='[3]Tabla Impacto'!$C$16,R29='[3]Tabla Impacto'!$D$16),"Catastrófico","")))))</f>
        <v/>
      </c>
      <c r="T29" s="241" t="str">
        <f t="shared" si="21"/>
        <v/>
      </c>
      <c r="U29" s="243" t="str">
        <f t="shared" si="22"/>
        <v/>
      </c>
      <c r="X29" s="244" t="str">
        <f t="shared" si="15"/>
        <v>Probabilidad</v>
      </c>
      <c r="Y29" s="245" t="s">
        <v>187</v>
      </c>
      <c r="Z29" s="245" t="s">
        <v>188</v>
      </c>
      <c r="AA29" s="246" t="str">
        <f t="shared" si="23"/>
        <v>40%</v>
      </c>
      <c r="AB29" s="245" t="s">
        <v>222</v>
      </c>
      <c r="AC29" s="245" t="s">
        <v>190</v>
      </c>
      <c r="AD29" s="245" t="s">
        <v>191</v>
      </c>
      <c r="AE29" s="247">
        <f t="shared" si="24"/>
        <v>4.3883931893759975E-4</v>
      </c>
      <c r="AF29" s="248" t="str">
        <f t="shared" si="17"/>
        <v>Muy Baja</v>
      </c>
      <c r="AG29" s="249">
        <f t="shared" si="18"/>
        <v>4.3883931893759975E-4</v>
      </c>
      <c r="AH29" s="248" t="str">
        <f t="shared" si="19"/>
        <v/>
      </c>
      <c r="AI29" s="249" t="str">
        <f t="shared" si="25"/>
        <v/>
      </c>
      <c r="AJ29" s="250" t="str">
        <f t="shared" si="20"/>
        <v/>
      </c>
      <c r="AK29" s="251" t="s">
        <v>192</v>
      </c>
    </row>
    <row r="30" spans="1:42" ht="15" customHeight="1" x14ac:dyDescent="0.2">
      <c r="H30" s="252"/>
      <c r="O30" s="252"/>
      <c r="P30" s="252"/>
      <c r="Q30" s="252"/>
      <c r="R30" s="242" t="str">
        <f>IF(NOT(ISERROR(MATCH(Q30,'[3]Tabla Impacto'!$B$222:$B$224,0))),'[3]Tabla Impacto'!$F$224&amp;"Por favor no seleccionar los criterios de impacto(Afectación Económica o presupuestal y Pérdida Reputacional)",Q30)</f>
        <v>❌Por favor no seleccionar los criterios de impacto(Afectación Económica o presupuestal y Pérdida Reputacional)</v>
      </c>
      <c r="S30" s="240" t="str">
        <f>IF(OR(R30='[3]Tabla Impacto'!$C$12,R30='[3]Tabla Impacto'!$D$12),"Leve",IF(OR(R30='[3]Tabla Impacto'!$C$13,R30='[3]Tabla Impacto'!$D$13),"Menor",IF(OR(R30='[3]Tabla Impacto'!$C$14,R30='[3]Tabla Impacto'!$D$14),"Moderado",IF(OR(R30='[3]Tabla Impacto'!$C$15,R30='[3]Tabla Impacto'!$D$15),"Mayor",IF(OR(R30='[3]Tabla Impacto'!$C$16,R30='[3]Tabla Impacto'!$D$16),"Catastrófico","")))))</f>
        <v/>
      </c>
      <c r="T30" s="241" t="str">
        <f t="shared" si="21"/>
        <v/>
      </c>
      <c r="U30" s="243" t="str">
        <f t="shared" si="22"/>
        <v/>
      </c>
      <c r="X30" s="244" t="str">
        <f t="shared" si="15"/>
        <v>Probabilidad</v>
      </c>
      <c r="Y30" s="245" t="s">
        <v>187</v>
      </c>
      <c r="Z30" s="245" t="s">
        <v>188</v>
      </c>
      <c r="AA30" s="246" t="str">
        <f t="shared" si="23"/>
        <v>40%</v>
      </c>
      <c r="AB30" s="245" t="s">
        <v>222</v>
      </c>
      <c r="AC30" s="245" t="s">
        <v>190</v>
      </c>
      <c r="AD30" s="245" t="s">
        <v>191</v>
      </c>
      <c r="AE30" s="247">
        <f t="shared" si="24"/>
        <v>2.6330359136255983E-4</v>
      </c>
      <c r="AF30" s="248" t="str">
        <f t="shared" si="17"/>
        <v>Muy Baja</v>
      </c>
      <c r="AG30" s="249">
        <f t="shared" si="18"/>
        <v>2.6330359136255983E-4</v>
      </c>
      <c r="AH30" s="248" t="str">
        <f t="shared" si="19"/>
        <v/>
      </c>
      <c r="AI30" s="249" t="str">
        <f t="shared" si="25"/>
        <v/>
      </c>
      <c r="AJ30" s="250" t="str">
        <f t="shared" si="20"/>
        <v/>
      </c>
      <c r="AK30" s="251" t="s">
        <v>192</v>
      </c>
    </row>
    <row r="31" spans="1:42" ht="15" customHeight="1" x14ac:dyDescent="0.2">
      <c r="H31" s="252"/>
      <c r="O31" s="252"/>
      <c r="P31" s="252"/>
      <c r="Q31" s="252"/>
      <c r="R31" s="242" t="str">
        <f>IF(NOT(ISERROR(MATCH(Q31,'[3]Tabla Impacto'!$B$222:$B$224,0))),'[3]Tabla Impacto'!$F$224&amp;"Por favor no seleccionar los criterios de impacto(Afectación Económica o presupuestal y Pérdida Reputacional)",Q31)</f>
        <v>❌Por favor no seleccionar los criterios de impacto(Afectación Económica o presupuestal y Pérdida Reputacional)</v>
      </c>
      <c r="S31" s="240" t="str">
        <f>IF(OR(R31='[3]Tabla Impacto'!$C$12,R31='[3]Tabla Impacto'!$D$12),"Leve",IF(OR(R31='[3]Tabla Impacto'!$C$13,R31='[3]Tabla Impacto'!$D$13),"Menor",IF(OR(R31='[3]Tabla Impacto'!$C$14,R31='[3]Tabla Impacto'!$D$14),"Moderado",IF(OR(R31='[3]Tabla Impacto'!$C$15,R31='[3]Tabla Impacto'!$D$15),"Mayor",IF(OR(R31='[3]Tabla Impacto'!$C$16,R31='[3]Tabla Impacto'!$D$16),"Catastrófico","")))))</f>
        <v/>
      </c>
      <c r="T31" s="241" t="str">
        <f t="shared" si="21"/>
        <v/>
      </c>
      <c r="U31" s="243" t="str">
        <f t="shared" si="22"/>
        <v/>
      </c>
      <c r="X31" s="244" t="str">
        <f t="shared" si="15"/>
        <v>Probabilidad</v>
      </c>
      <c r="Y31" s="245" t="s">
        <v>187</v>
      </c>
      <c r="Z31" s="245" t="s">
        <v>188</v>
      </c>
      <c r="AA31" s="246" t="str">
        <f t="shared" si="23"/>
        <v>40%</v>
      </c>
      <c r="AB31" s="245" t="s">
        <v>222</v>
      </c>
      <c r="AC31" s="245" t="s">
        <v>190</v>
      </c>
      <c r="AD31" s="245" t="s">
        <v>191</v>
      </c>
      <c r="AE31" s="247">
        <f t="shared" si="24"/>
        <v>1.5798215481753589E-4</v>
      </c>
      <c r="AF31" s="248" t="str">
        <f t="shared" si="17"/>
        <v>Muy Baja</v>
      </c>
      <c r="AG31" s="249">
        <f t="shared" si="18"/>
        <v>1.5798215481753589E-4</v>
      </c>
      <c r="AH31" s="248" t="str">
        <f t="shared" si="19"/>
        <v/>
      </c>
      <c r="AI31" s="249" t="str">
        <f t="shared" si="25"/>
        <v/>
      </c>
      <c r="AJ31" s="250" t="str">
        <f t="shared" si="20"/>
        <v/>
      </c>
      <c r="AK31" s="251" t="s">
        <v>192</v>
      </c>
    </row>
    <row r="32" spans="1:42" ht="15" customHeight="1" x14ac:dyDescent="0.2">
      <c r="H32" s="252"/>
      <c r="O32" s="252"/>
      <c r="P32" s="252"/>
      <c r="Q32" s="252"/>
      <c r="R32" s="242" t="str">
        <f>IF(NOT(ISERROR(MATCH(Q32,'[3]Tabla Impacto'!$B$222:$B$224,0))),'[3]Tabla Impacto'!$F$224&amp;"Por favor no seleccionar los criterios de impacto(Afectación Económica o presupuestal y Pérdida Reputacional)",Q32)</f>
        <v>❌Por favor no seleccionar los criterios de impacto(Afectación Económica o presupuestal y Pérdida Reputacional)</v>
      </c>
      <c r="S32" s="240" t="str">
        <f>IF(OR(R32='[3]Tabla Impacto'!$C$12,R32='[3]Tabla Impacto'!$D$12),"Leve",IF(OR(R32='[3]Tabla Impacto'!$C$13,R32='[3]Tabla Impacto'!$D$13),"Menor",IF(OR(R32='[3]Tabla Impacto'!$C$14,R32='[3]Tabla Impacto'!$D$14),"Moderado",IF(OR(R32='[3]Tabla Impacto'!$C$15,R32='[3]Tabla Impacto'!$D$15),"Mayor",IF(OR(R32='[3]Tabla Impacto'!$C$16,R32='[3]Tabla Impacto'!$D$16),"Catastrófico","")))))</f>
        <v/>
      </c>
      <c r="T32" s="241" t="str">
        <f t="shared" si="21"/>
        <v/>
      </c>
      <c r="U32" s="243" t="str">
        <f t="shared" si="22"/>
        <v/>
      </c>
      <c r="X32" s="244" t="str">
        <f t="shared" si="15"/>
        <v>Probabilidad</v>
      </c>
      <c r="Y32" s="245" t="s">
        <v>187</v>
      </c>
      <c r="Z32" s="245" t="s">
        <v>188</v>
      </c>
      <c r="AA32" s="246" t="str">
        <f t="shared" si="23"/>
        <v>40%</v>
      </c>
      <c r="AB32" s="245" t="s">
        <v>222</v>
      </c>
      <c r="AC32" s="245" t="s">
        <v>190</v>
      </c>
      <c r="AD32" s="245" t="s">
        <v>191</v>
      </c>
      <c r="AE32" s="247">
        <f t="shared" si="24"/>
        <v>9.4789292890521532E-5</v>
      </c>
      <c r="AF32" s="248" t="str">
        <f t="shared" si="17"/>
        <v>Muy Baja</v>
      </c>
      <c r="AG32" s="249">
        <f t="shared" si="18"/>
        <v>9.4789292890521532E-5</v>
      </c>
      <c r="AH32" s="248" t="str">
        <f t="shared" si="19"/>
        <v/>
      </c>
      <c r="AI32" s="249" t="str">
        <f t="shared" si="25"/>
        <v/>
      </c>
      <c r="AJ32" s="250" t="str">
        <f t="shared" si="20"/>
        <v/>
      </c>
      <c r="AK32" s="251" t="s">
        <v>192</v>
      </c>
    </row>
    <row r="33" spans="4:41" ht="15" customHeight="1" x14ac:dyDescent="0.2">
      <c r="H33" s="252"/>
      <c r="O33" s="252"/>
      <c r="P33" s="252"/>
      <c r="Q33" s="252"/>
      <c r="R33" s="242" t="str">
        <f>IF(NOT(ISERROR(MATCH(Q33,'[3]Tabla Impacto'!$B$222:$B$224,0))),'[3]Tabla Impacto'!$F$224&amp;"Por favor no seleccionar los criterios de impacto(Afectación Económica o presupuestal y Pérdida Reputacional)",Q33)</f>
        <v>❌Por favor no seleccionar los criterios de impacto(Afectación Económica o presupuestal y Pérdida Reputacional)</v>
      </c>
      <c r="S33" s="240" t="str">
        <f>IF(OR(R33='[3]Tabla Impacto'!$C$12,R33='[3]Tabla Impacto'!$D$12),"Leve",IF(OR(R33='[3]Tabla Impacto'!$C$13,R33='[3]Tabla Impacto'!$D$13),"Menor",IF(OR(R33='[3]Tabla Impacto'!$C$14,R33='[3]Tabla Impacto'!$D$14),"Moderado",IF(OR(R33='[3]Tabla Impacto'!$C$15,R33='[3]Tabla Impacto'!$D$15),"Mayor",IF(OR(R33='[3]Tabla Impacto'!$C$16,R33='[3]Tabla Impacto'!$D$16),"Catastrófico","")))))</f>
        <v/>
      </c>
      <c r="T33" s="241" t="str">
        <f t="shared" si="21"/>
        <v/>
      </c>
      <c r="U33" s="243" t="str">
        <f t="shared" si="22"/>
        <v/>
      </c>
      <c r="X33" s="244" t="str">
        <f t="shared" si="15"/>
        <v>Probabilidad</v>
      </c>
      <c r="Y33" s="245" t="s">
        <v>187</v>
      </c>
      <c r="Z33" s="245" t="s">
        <v>188</v>
      </c>
      <c r="AA33" s="246" t="str">
        <f t="shared" si="23"/>
        <v>40%</v>
      </c>
      <c r="AB33" s="245" t="s">
        <v>222</v>
      </c>
      <c r="AC33" s="245" t="s">
        <v>190</v>
      </c>
      <c r="AD33" s="245" t="s">
        <v>191</v>
      </c>
      <c r="AE33" s="247">
        <f t="shared" si="24"/>
        <v>5.6873575734312915E-5</v>
      </c>
      <c r="AF33" s="248" t="str">
        <f t="shared" si="17"/>
        <v>Muy Baja</v>
      </c>
      <c r="AG33" s="249">
        <f t="shared" si="18"/>
        <v>5.6873575734312915E-5</v>
      </c>
      <c r="AH33" s="248" t="str">
        <f t="shared" si="19"/>
        <v/>
      </c>
      <c r="AI33" s="249" t="str">
        <f t="shared" si="25"/>
        <v/>
      </c>
      <c r="AJ33" s="250" t="str">
        <f t="shared" si="20"/>
        <v/>
      </c>
      <c r="AK33" s="251" t="s">
        <v>192</v>
      </c>
    </row>
    <row r="34" spans="4:41" ht="15" customHeight="1" x14ac:dyDescent="0.2">
      <c r="H34" s="252"/>
      <c r="I34" s="256" t="s">
        <v>1300</v>
      </c>
      <c r="J34" s="257"/>
      <c r="K34" s="257"/>
      <c r="L34" s="257"/>
      <c r="M34" s="257"/>
      <c r="N34" s="257"/>
      <c r="O34" s="257"/>
      <c r="P34" s="257"/>
      <c r="Q34" s="257"/>
      <c r="R34" s="242" t="str">
        <f>IF(NOT(ISERROR(MATCH(Q34,'[3]Tabla Impacto'!$B$222:$B$224,0))),'[3]Tabla Impacto'!$F$224&amp;"Por favor no seleccionar los criterios de impacto(Afectación Económica o presupuestal y Pérdida Reputacional)",Q34)</f>
        <v>❌Por favor no seleccionar los criterios de impacto(Afectación Económica o presupuestal y Pérdida Reputacional)</v>
      </c>
      <c r="S34" s="240" t="str">
        <f>IF(OR(R34='[3]Tabla Impacto'!$C$12,R34='[3]Tabla Impacto'!$D$12),"Leve",IF(OR(R34='[3]Tabla Impacto'!$C$13,R34='[3]Tabla Impacto'!$D$13),"Menor",IF(OR(R34='[3]Tabla Impacto'!$C$14,R34='[3]Tabla Impacto'!$D$14),"Moderado",IF(OR(R34='[3]Tabla Impacto'!$C$15,R34='[3]Tabla Impacto'!$D$15),"Mayor",IF(OR(R34='[3]Tabla Impacto'!$C$16,R34='[3]Tabla Impacto'!$D$16),"Catastrófico","")))))</f>
        <v/>
      </c>
      <c r="T34" s="241" t="str">
        <f t="shared" si="21"/>
        <v/>
      </c>
      <c r="U34" s="243" t="str">
        <f t="shared" si="22"/>
        <v/>
      </c>
      <c r="V34" s="257"/>
      <c r="W34" s="257"/>
      <c r="X34" s="244" t="str">
        <f t="shared" si="15"/>
        <v/>
      </c>
      <c r="Y34" s="257"/>
      <c r="Z34" s="257"/>
      <c r="AA34" s="257"/>
      <c r="AB34" s="257"/>
      <c r="AC34" s="257"/>
      <c r="AD34" s="257"/>
      <c r="AE34" s="257"/>
      <c r="AF34" s="257"/>
      <c r="AG34" s="257"/>
      <c r="AH34" s="257"/>
      <c r="AI34" s="257"/>
      <c r="AJ34" s="257"/>
      <c r="AK34" s="257"/>
      <c r="AL34" s="257"/>
      <c r="AM34" s="258"/>
      <c r="AN34" s="257"/>
      <c r="AO34" s="257"/>
    </row>
    <row r="35" spans="4:41" ht="15" customHeight="1" x14ac:dyDescent="0.3">
      <c r="D35" s="259"/>
      <c r="E35" s="259"/>
      <c r="F35" s="259"/>
      <c r="G35" s="259"/>
      <c r="H35" s="252"/>
      <c r="I35" s="260"/>
      <c r="J35" s="260"/>
      <c r="K35" s="260"/>
      <c r="L35" s="261"/>
      <c r="M35" s="262"/>
      <c r="N35" s="262"/>
      <c r="O35" s="263"/>
      <c r="P35" s="261"/>
      <c r="Q35" s="261"/>
      <c r="R35" s="242" t="str">
        <f>IF(NOT(ISERROR(MATCH(Q35,'[3]Tabla Impacto'!$B$222:$B$224,0))),'[3]Tabla Impacto'!$F$224&amp;"Por favor no seleccionar los criterios de impacto(Afectación Económica o presupuestal y Pérdida Reputacional)",Q35)</f>
        <v>❌Por favor no seleccionar los criterios de impacto(Afectación Económica o presupuestal y Pérdida Reputacional)</v>
      </c>
      <c r="S35" s="240" t="str">
        <f>IF(OR(R35='[3]Tabla Impacto'!$C$12,R35='[3]Tabla Impacto'!$D$12),"Leve",IF(OR(R35='[3]Tabla Impacto'!$C$13,R35='[3]Tabla Impacto'!$D$13),"Menor",IF(OR(R35='[3]Tabla Impacto'!$C$14,R35='[3]Tabla Impacto'!$D$14),"Moderado",IF(OR(R35='[3]Tabla Impacto'!$C$15,R35='[3]Tabla Impacto'!$D$15),"Mayor",IF(OR(R35='[3]Tabla Impacto'!$C$16,R35='[3]Tabla Impacto'!$D$16),"Catastrófico","")))))</f>
        <v/>
      </c>
      <c r="T35" s="241" t="str">
        <f t="shared" si="21"/>
        <v/>
      </c>
      <c r="U35" s="243" t="str">
        <f t="shared" si="22"/>
        <v/>
      </c>
      <c r="V35" s="261"/>
      <c r="W35" s="261"/>
      <c r="X35" s="244" t="str">
        <f t="shared" si="15"/>
        <v/>
      </c>
      <c r="Y35" s="261"/>
      <c r="Z35" s="261"/>
      <c r="AA35" s="261"/>
      <c r="AB35" s="261"/>
      <c r="AC35" s="261"/>
      <c r="AD35" s="261"/>
      <c r="AE35" s="261"/>
      <c r="AF35" s="261"/>
      <c r="AG35" s="261"/>
      <c r="AH35" s="261"/>
      <c r="AI35" s="261"/>
      <c r="AJ35" s="261"/>
      <c r="AK35" s="261"/>
      <c r="AL35" s="261"/>
      <c r="AM35" s="264"/>
      <c r="AN35" s="261"/>
      <c r="AO35" s="261"/>
    </row>
    <row r="36" spans="4:41" ht="15" customHeight="1" x14ac:dyDescent="0.3">
      <c r="D36" s="265" t="s">
        <v>1301</v>
      </c>
      <c r="E36" s="265" t="s">
        <v>1301</v>
      </c>
      <c r="F36" s="265"/>
      <c r="G36" s="265"/>
      <c r="H36" s="252"/>
      <c r="I36" s="266" t="s">
        <v>1301</v>
      </c>
      <c r="J36" s="261"/>
      <c r="K36" s="261"/>
      <c r="L36" s="261"/>
      <c r="M36" s="261"/>
      <c r="N36" s="262"/>
      <c r="O36" s="263"/>
      <c r="P36" s="261"/>
      <c r="Q36" s="261"/>
      <c r="R36" s="242" t="str">
        <f>IF(NOT(ISERROR(MATCH(Q36,'[3]Tabla Impacto'!$B$222:$B$224,0))),'[3]Tabla Impacto'!$F$224&amp;"Por favor no seleccionar los criterios de impacto(Afectación Económica o presupuestal y Pérdida Reputacional)",Q36)</f>
        <v>❌Por favor no seleccionar los criterios de impacto(Afectación Económica o presupuestal y Pérdida Reputacional)</v>
      </c>
      <c r="S36" s="240" t="str">
        <f>IF(OR(R36='[3]Tabla Impacto'!$C$12,R36='[3]Tabla Impacto'!$D$12),"Leve",IF(OR(R36='[3]Tabla Impacto'!$C$13,R36='[3]Tabla Impacto'!$D$13),"Menor",IF(OR(R36='[3]Tabla Impacto'!$C$14,R36='[3]Tabla Impacto'!$D$14),"Moderado",IF(OR(R36='[3]Tabla Impacto'!$C$15,R36='[3]Tabla Impacto'!$D$15),"Mayor",IF(OR(R36='[3]Tabla Impacto'!$C$16,R36='[3]Tabla Impacto'!$D$16),"Catastrófico","")))))</f>
        <v/>
      </c>
      <c r="T36" s="241" t="str">
        <f t="shared" si="21"/>
        <v/>
      </c>
      <c r="U36" s="243" t="str">
        <f t="shared" si="22"/>
        <v/>
      </c>
      <c r="V36" s="261"/>
      <c r="W36" s="261"/>
      <c r="X36" s="244" t="str">
        <f t="shared" si="15"/>
        <v/>
      </c>
      <c r="Y36" s="261"/>
      <c r="Z36" s="261"/>
      <c r="AA36" s="261"/>
      <c r="AB36" s="261"/>
      <c r="AC36" s="261"/>
      <c r="AD36" s="261"/>
      <c r="AE36" s="261"/>
      <c r="AF36" s="261"/>
      <c r="AG36" s="261"/>
      <c r="AH36" s="261"/>
      <c r="AI36" s="261"/>
      <c r="AJ36" s="261"/>
      <c r="AK36" s="261"/>
      <c r="AL36" s="261"/>
      <c r="AM36" s="264"/>
      <c r="AN36" s="261"/>
      <c r="AO36" s="261"/>
    </row>
    <row r="37" spans="4:41" ht="15" customHeight="1" x14ac:dyDescent="0.2">
      <c r="H37" s="252"/>
      <c r="O37" s="252"/>
      <c r="P37" s="252"/>
      <c r="Q37" s="252"/>
      <c r="R37" s="242" t="str">
        <f>IF(NOT(ISERROR(MATCH(Q37,'[3]Tabla Impacto'!$B$222:$B$224,0))),'[3]Tabla Impacto'!$F$224&amp;"Por favor no seleccionar los criterios de impacto(Afectación Económica o presupuestal y Pérdida Reputacional)",Q37)</f>
        <v>❌Por favor no seleccionar los criterios de impacto(Afectación Económica o presupuestal y Pérdida Reputacional)</v>
      </c>
      <c r="S37" s="240" t="str">
        <f>IF(OR(R37='[3]Tabla Impacto'!$C$12,R37='[3]Tabla Impacto'!$D$12),"Leve",IF(OR(R37='[3]Tabla Impacto'!$C$13,R37='[3]Tabla Impacto'!$D$13),"Menor",IF(OR(R37='[3]Tabla Impacto'!$C$14,R37='[3]Tabla Impacto'!$D$14),"Moderado",IF(OR(R37='[3]Tabla Impacto'!$C$15,R37='[3]Tabla Impacto'!$D$15),"Mayor",IF(OR(R37='[3]Tabla Impacto'!$C$16,R37='[3]Tabla Impacto'!$D$16),"Catastrófico","")))))</f>
        <v/>
      </c>
      <c r="T37" s="241" t="str">
        <f t="shared" si="21"/>
        <v/>
      </c>
      <c r="U37" s="252"/>
      <c r="X37" s="244" t="str">
        <f t="shared" si="15"/>
        <v/>
      </c>
    </row>
  </sheetData>
  <sheetProtection formatCells="0" formatColumns="0" formatRows="0" insertHyperlinks="0" autoFilter="0"/>
  <autoFilter ref="A3:AQ37" xr:uid="{84155599-DD50-4A8D-AEAD-F509BAAFB31A}"/>
  <mergeCells count="18">
    <mergeCell ref="T22:T24"/>
    <mergeCell ref="F2:G2"/>
    <mergeCell ref="Y2:AD2"/>
    <mergeCell ref="AP2:AP3"/>
    <mergeCell ref="O22:O24"/>
    <mergeCell ref="P22:P24"/>
    <mergeCell ref="Q22:Q24"/>
    <mergeCell ref="R22:R24"/>
    <mergeCell ref="S22:S24"/>
    <mergeCell ref="U22:U24"/>
    <mergeCell ref="AO22:AO24"/>
    <mergeCell ref="AO10:AO11"/>
    <mergeCell ref="AO12:AO21"/>
    <mergeCell ref="A1:N1"/>
    <mergeCell ref="O1:U1"/>
    <mergeCell ref="V1:AD1"/>
    <mergeCell ref="AE1:AK1"/>
    <mergeCell ref="AL1:AO1"/>
  </mergeCells>
  <conditionalFormatting sqref="O4:O22">
    <cfRule type="cellIs" dxfId="146" priority="156" operator="equal">
      <formula>"Media"</formula>
    </cfRule>
    <cfRule type="cellIs" dxfId="145" priority="158" operator="equal">
      <formula>"Muy Baja"</formula>
    </cfRule>
    <cfRule type="cellIs" dxfId="144" priority="157" operator="equal">
      <formula>"Baja"</formula>
    </cfRule>
    <cfRule type="cellIs" dxfId="143" priority="154" operator="equal">
      <formula>"Muy Alta"</formula>
    </cfRule>
    <cfRule type="cellIs" dxfId="142" priority="155" operator="equal">
      <formula>"Alta"</formula>
    </cfRule>
  </conditionalFormatting>
  <conditionalFormatting sqref="R4:R22">
    <cfRule type="containsText" dxfId="141" priority="139" operator="containsText" text="❌">
      <formula>NOT(ISERROR(SEARCH(("❌"),(R4))))</formula>
    </cfRule>
  </conditionalFormatting>
  <conditionalFormatting sqref="R25:R37">
    <cfRule type="containsText" dxfId="140" priority="163" operator="containsText" text="❌">
      <formula>NOT(ISERROR(SEARCH(("❌"),(R25))))</formula>
    </cfRule>
  </conditionalFormatting>
  <conditionalFormatting sqref="S4:S22 AH4:AH33">
    <cfRule type="cellIs" dxfId="139" priority="145" operator="equal">
      <formula>"Catastrófico"</formula>
    </cfRule>
    <cfRule type="cellIs" dxfId="138" priority="146" operator="equal">
      <formula>"Mayor"</formula>
    </cfRule>
    <cfRule type="cellIs" dxfId="137" priority="147" operator="equal">
      <formula>"Moderado"</formula>
    </cfRule>
    <cfRule type="cellIs" dxfId="136" priority="148" operator="equal">
      <formula>"Menor"</formula>
    </cfRule>
    <cfRule type="cellIs" dxfId="135" priority="149" operator="equal">
      <formula>"Leve"</formula>
    </cfRule>
  </conditionalFormatting>
  <conditionalFormatting sqref="S25:S37">
    <cfRule type="cellIs" dxfId="134" priority="164" operator="equal">
      <formula>"Catastrófico"</formula>
    </cfRule>
    <cfRule type="cellIs" dxfId="133" priority="165" operator="equal">
      <formula>"Mayor"</formula>
    </cfRule>
    <cfRule type="cellIs" dxfId="132" priority="166" operator="equal">
      <formula>"Moderado"</formula>
    </cfRule>
    <cfRule type="cellIs" dxfId="131" priority="167" operator="equal">
      <formula>"Menor"</formula>
    </cfRule>
    <cfRule type="cellIs" dxfId="130" priority="168" operator="equal">
      <formula>"Leve"</formula>
    </cfRule>
  </conditionalFormatting>
  <conditionalFormatting sqref="U4:U22">
    <cfRule type="cellIs" dxfId="129" priority="159" operator="equal">
      <formula>"Extremo"</formula>
    </cfRule>
    <cfRule type="cellIs" dxfId="128" priority="160" operator="equal">
      <formula>"Alto"</formula>
    </cfRule>
    <cfRule type="cellIs" dxfId="127" priority="161" operator="equal">
      <formula>"Moderado"</formula>
    </cfRule>
    <cfRule type="cellIs" dxfId="126" priority="162" operator="equal">
      <formula>"Bajo"</formula>
    </cfRule>
  </conditionalFormatting>
  <conditionalFormatting sqref="U25:U36">
    <cfRule type="cellIs" dxfId="125" priority="169" operator="equal">
      <formula>"Extremo"</formula>
    </cfRule>
    <cfRule type="cellIs" dxfId="124" priority="170" operator="equal">
      <formula>"Alto"</formula>
    </cfRule>
    <cfRule type="cellIs" dxfId="123" priority="171" operator="equal">
      <formula>"Moderado"</formula>
    </cfRule>
    <cfRule type="cellIs" dxfId="122" priority="172" operator="equal">
      <formula>"Bajo"</formula>
    </cfRule>
  </conditionalFormatting>
  <conditionalFormatting sqref="AF4:AF33">
    <cfRule type="cellIs" dxfId="121" priority="140" operator="equal">
      <formula>"Muy Alta"</formula>
    </cfRule>
    <cfRule type="cellIs" dxfId="120" priority="141" operator="equal">
      <formula>"Alta"</formula>
    </cfRule>
    <cfRule type="cellIs" dxfId="119" priority="142" operator="equal">
      <formula>"Media"</formula>
    </cfRule>
    <cfRule type="cellIs" dxfId="118" priority="143" operator="equal">
      <formula>"Baja"</formula>
    </cfRule>
    <cfRule type="cellIs" dxfId="117" priority="144" operator="equal">
      <formula>"Muy Baja"</formula>
    </cfRule>
  </conditionalFormatting>
  <conditionalFormatting sqref="AJ4:AJ33">
    <cfRule type="cellIs" dxfId="116" priority="150" operator="equal">
      <formula>"Extremo"</formula>
    </cfRule>
    <cfRule type="cellIs" dxfId="115" priority="151" operator="equal">
      <formula>"Alto"</formula>
    </cfRule>
    <cfRule type="cellIs" dxfId="114" priority="153" operator="equal">
      <formula>"Bajo"</formula>
    </cfRule>
    <cfRule type="cellIs" dxfId="113" priority="152" operator="equal">
      <formula>"Moderado"</formula>
    </cfRule>
  </conditionalFormatting>
  <pageMargins left="0.70866141732283472" right="0.70866141732283472" top="0.74803149606299213" bottom="0.74803149606299213" header="0" footer="0"/>
  <pageSetup scale="54" orientation="portrait" r:id="rId1"/>
  <headerFooter>
    <oddHeader>&amp;L&amp;G&amp;C
MATRIZ DE RIESGOS</oddHeader>
    <oddFooter>&amp;RCódigo:E-02-F-014
Versión: 5
Fecha: Ver Isolución</oddFooter>
  </headerFooter>
  <rowBreaks count="1" manualBreakCount="1">
    <brk id="9" max="16383" man="1"/>
  </rowBreaks>
  <colBreaks count="2" manualBreakCount="2">
    <brk id="21" max="1048575" man="1"/>
    <brk id="37" max="1048575" man="1"/>
  </colBreaks>
  <legacy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aa9bf3b-60c2-4456-916d-f4817fb08b4f">
      <Terms xmlns="http://schemas.microsoft.com/office/infopath/2007/PartnerControls"/>
    </lcf76f155ced4ddcb4097134ff3c332f>
    <TaxCatchAll xmlns="a6c9a71c-da9e-42e3-bdc2-0dae5f46afe5" xsi:nil="true"/>
    <_Flow_SignoffStatus xmlns="eaa9bf3b-60c2-4456-916d-f4817fb08b4f" xsi:nil="true"/>
    <SharedWithUsers xmlns="a6c9a71c-da9e-42e3-bdc2-0dae5f46afe5">
      <UserInfo>
        <DisplayName>Liliana Pineda Aponte</DisplayName>
        <AccountId>131</AccountId>
        <AccountType/>
      </UserInfo>
      <UserInfo>
        <DisplayName>Linda Karina Petro Martínez</DisplayName>
        <AccountId>14</AccountId>
        <AccountType/>
      </UserInfo>
    </SharedWithUsers>
    <Rev xmlns="eaa9bf3b-60c2-4456-916d-f4817fb08b4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44AA3DD41E7CFA4E86C010F4EB486482" ma:contentTypeVersion="18" ma:contentTypeDescription="Crear nuevo documento." ma:contentTypeScope="" ma:versionID="851a864a8fc9b666a339b2f60b32edf7">
  <xsd:schema xmlns:xsd="http://www.w3.org/2001/XMLSchema" xmlns:xs="http://www.w3.org/2001/XMLSchema" xmlns:p="http://schemas.microsoft.com/office/2006/metadata/properties" xmlns:ns2="eaa9bf3b-60c2-4456-916d-f4817fb08b4f" xmlns:ns3="a6c9a71c-da9e-42e3-bdc2-0dae5f46afe5" targetNamespace="http://schemas.microsoft.com/office/2006/metadata/properties" ma:root="true" ma:fieldsID="44e295657bf75e1f2d0b20369b73a025" ns2:_="" ns3:_="">
    <xsd:import namespace="eaa9bf3b-60c2-4456-916d-f4817fb08b4f"/>
    <xsd:import namespace="a6c9a71c-da9e-42e3-bdc2-0dae5f46afe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SearchProperties" minOccurs="0"/>
                <xsd:element ref="ns2:_Flow_SignoffStatus" minOccurs="0"/>
                <xsd:element ref="ns2:Rev"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a9bf3b-60c2-4456-916d-f4817fb08b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46be75cd-527c-4463-91c3-691978e55a7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_Flow_SignoffStatus" ma:index="23" nillable="true" ma:displayName="Estado de aprobación" ma:internalName="Estado_x0020_de_x0020_aprobaci_x00f3_n">
      <xsd:simpleType>
        <xsd:restriction base="dms:Text"/>
      </xsd:simpleType>
    </xsd:element>
    <xsd:element name="Rev" ma:index="24" nillable="true" ma:displayName="Rev" ma:description="Revisión para OM o inclusión en PMO y GP" ma:format="Dropdown" ma:internalName="Rev">
      <xsd:simpleType>
        <xsd:restriction base="dms:Text">
          <xsd:maxLength value="255"/>
        </xsd:restriction>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6c9a71c-da9e-42e3-bdc2-0dae5f46afe5"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66a70393-8045-4db5-b63b-83af5dd3d747}" ma:internalName="TaxCatchAll" ma:showField="CatchAllData" ma:web="a6c9a71c-da9e-42e3-bdc2-0dae5f46af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5B7742B-93DE-4C68-90E3-EE0EDB350F76}">
  <ds:schemaRefs>
    <ds:schemaRef ds:uri="http://schemas.microsoft.com/office/2006/metadata/properties"/>
    <ds:schemaRef ds:uri="http://schemas.microsoft.com/office/infopath/2007/PartnerControls"/>
    <ds:schemaRef ds:uri="eaa9bf3b-60c2-4456-916d-f4817fb08b4f"/>
    <ds:schemaRef ds:uri="a6c9a71c-da9e-42e3-bdc2-0dae5f46afe5"/>
  </ds:schemaRefs>
</ds:datastoreItem>
</file>

<file path=customXml/itemProps2.xml><?xml version="1.0" encoding="utf-8"?>
<ds:datastoreItem xmlns:ds="http://schemas.openxmlformats.org/officeDocument/2006/customXml" ds:itemID="{6681B2D3-FEFE-4316-8C6C-81A9881516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a9bf3b-60c2-4456-916d-f4817fb08b4f"/>
    <ds:schemaRef ds:uri="a6c9a71c-da9e-42e3-bdc2-0dae5f46af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CF9939F-3F4F-4FA6-9CA5-21E3ACEF099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30</vt:i4>
      </vt:variant>
    </vt:vector>
  </HeadingPairs>
  <TitlesOfParts>
    <vt:vector size="55" baseType="lpstr">
      <vt:lpstr>Matriz Calor Inherente</vt:lpstr>
      <vt:lpstr>Matriz Calor Residual</vt:lpstr>
      <vt:lpstr>Matriz Calor Inherente.</vt:lpstr>
      <vt:lpstr>Matriz Calor Residual.</vt:lpstr>
      <vt:lpstr>Control de cambios</vt:lpstr>
      <vt:lpstr>Inst. Riesgos de gestión</vt:lpstr>
      <vt:lpstr>Matriz riesgos de gestión</vt:lpstr>
      <vt:lpstr>Catálogo puntos riesgo fiscal</vt:lpstr>
      <vt:lpstr>Matriz riesgos fiscales</vt:lpstr>
      <vt:lpstr>MapaCalor</vt:lpstr>
      <vt:lpstr>Inst. riesgos corrupción</vt:lpstr>
      <vt:lpstr>Evaluación impacto Corrupción</vt:lpstr>
      <vt:lpstr>Matriz riesgos de corrupción</vt:lpstr>
      <vt:lpstr>Control de cambios SI</vt:lpstr>
      <vt:lpstr>Inst. Riesgos seguridad Inf.</vt:lpstr>
      <vt:lpstr>Matriz Calor Inherente SI</vt:lpstr>
      <vt:lpstr>Matriz Calor Residual SI</vt:lpstr>
      <vt:lpstr>Tabla probabilidad</vt:lpstr>
      <vt:lpstr>Tabla Impacto</vt:lpstr>
      <vt:lpstr>Tabla Valoración controles</vt:lpstr>
      <vt:lpstr>Base corrupción</vt:lpstr>
      <vt:lpstr>Base de datos gestión</vt:lpstr>
      <vt:lpstr>Grupo de activos - SI</vt:lpstr>
      <vt:lpstr>Mapa final back up</vt:lpstr>
      <vt:lpstr>Hoja1</vt:lpstr>
      <vt:lpstr>A_responsable</vt:lpstr>
      <vt:lpstr>Act_control</vt:lpstr>
      <vt:lpstr>'Evaluación impacto Corrupción'!Área_de_impresión</vt:lpstr>
      <vt:lpstr>'Matriz Calor Inherente.'!Área_de_impresión</vt:lpstr>
      <vt:lpstr>'Matriz Calor Residual.'!Área_de_impresión</vt:lpstr>
      <vt:lpstr>C_Externo</vt:lpstr>
      <vt:lpstr>C_Interno</vt:lpstr>
      <vt:lpstr>C_Proceso</vt:lpstr>
      <vt:lpstr>Contexto</vt:lpstr>
      <vt:lpstr>Desviaciones</vt:lpstr>
      <vt:lpstr>Evidencia</vt:lpstr>
      <vt:lpstr>Influencia_C</vt:lpstr>
      <vt:lpstr>Influencia_CP</vt:lpstr>
      <vt:lpstr>N_Impacto</vt:lpstr>
      <vt:lpstr>N_ImpactoC</vt:lpstr>
      <vt:lpstr>N_Probabilidad</vt:lpstr>
      <vt:lpstr>Nivel_R</vt:lpstr>
      <vt:lpstr>P_ejecución</vt:lpstr>
      <vt:lpstr>Periodicidad</vt:lpstr>
      <vt:lpstr>Proceso</vt:lpstr>
      <vt:lpstr>Propósito</vt:lpstr>
      <vt:lpstr>RespuestaC</vt:lpstr>
      <vt:lpstr>S_responsable</vt:lpstr>
      <vt:lpstr>T_Control</vt:lpstr>
      <vt:lpstr>TImpacto</vt:lpstr>
      <vt:lpstr>Tipología</vt:lpstr>
      <vt:lpstr>'Matriz riesgos de corrupción'!Títulos_a_imprimir</vt:lpstr>
      <vt:lpstr>TMapaCalor</vt:lpstr>
      <vt:lpstr>TProbabilidad</vt:lpstr>
      <vt:lpstr>Tratamiento_R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Myrian Cubillos Benavides</dc:creator>
  <cp:keywords/>
  <dc:description/>
  <cp:lastModifiedBy>Linda Karina Petro Martínez</cp:lastModifiedBy>
  <cp:revision/>
  <dcterms:created xsi:type="dcterms:W3CDTF">2020-03-24T23:12:47Z</dcterms:created>
  <dcterms:modified xsi:type="dcterms:W3CDTF">2026-07-23T12:48:17Z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0x01010044AA3DD41E7CFA4E86C010F4EB486482</vt:lpwstr>
  </property>
  <property fmtid="{D5CDD505-2E9C-101B-9397-08002B2CF9AE}" pid="3" name="MediaServiceImageTags">
    <vt:lpwstr/>
  </property>
</Properties>
</file>