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X:\100-OCI\TRD2021\130 135 INFORMES\130 135.19 Informes Institucionales de Control Interno\2022\Informes Septiembre\Certificacion eKOGUI\"/>
    </mc:Choice>
  </mc:AlternateContent>
  <bookViews>
    <workbookView xWindow="0" yWindow="0" windowWidth="20490" windowHeight="6255" tabRatio="777" activeTab="7"/>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V3" i="7"/>
  <c r="G14" i="1" l="1"/>
  <c r="G15" i="12" s="1"/>
  <c r="G13" i="1"/>
  <c r="G14" i="12" s="1"/>
  <c r="G15" i="1"/>
  <c r="G16" i="12" s="1"/>
  <c r="G16" i="1"/>
  <c r="G17" i="12" s="1"/>
  <c r="G17" i="1"/>
  <c r="G18" i="12" s="1"/>
  <c r="G12" i="1"/>
  <c r="G13" i="12" s="1"/>
  <c r="F17" i="5" l="1"/>
  <c r="F15" i="5"/>
  <c r="F10" i="5"/>
  <c r="C19" i="5"/>
  <c r="C17" i="5"/>
  <c r="C16" i="5"/>
  <c r="T16" i="10"/>
  <c r="T12" i="10"/>
  <c r="W3" i="8"/>
  <c r="C25" i="8" s="1"/>
  <c r="T17" i="10" l="1"/>
  <c r="F13" i="5" s="1"/>
  <c r="V2" i="9"/>
  <c r="V3" i="9" s="1"/>
  <c r="F9" i="9" s="1"/>
  <c r="F11" i="5" l="1"/>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authors>
    <author>Juan Pablo Garzón Peraza</author>
  </authors>
  <commentList>
    <comment ref="C21" authorId="0" shapeId="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<sst xmlns="http://schemas.openxmlformats.org/spreadsheetml/2006/main" count="275" uniqueCount="201">
  <si>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</si>
  <si>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</si>
  <si>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</si>
  <si>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</si>
  <si>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</si>
  <si>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</si>
  <si>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</si>
  <si>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</si>
  <si>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</si>
  <si>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</si>
  <si>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</si>
  <si>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</si>
  <si>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</si>
  <si>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</si>
  <si>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</si>
  <si>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</si>
  <si>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</si>
  <si>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</si>
  <si>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</si>
  <si>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</si>
  <si>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</si>
  <si>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</si>
  <si>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</si>
  <si>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</si>
  <si>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</si>
  <si>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</si>
  <si>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</si>
  <si>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</si>
  <si>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</si>
  <si>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</si>
  <si>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</si>
  <si>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</si>
  <si>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</si>
  <si>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</si>
  <si>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</si>
  <si>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</si>
  <si>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</si>
  <si>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</si>
  <si>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</si>
  <si>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</si>
  <si>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</si>
  <si>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</si>
  <si>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</si>
  <si>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</si>
  <si>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</si>
  <si>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</si>
  <si>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</si>
  <si>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</si>
  <si>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</si>
  <si>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</si>
  <si>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</si>
  <si>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</si>
  <si>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</si>
  <si>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</si>
  <si>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</si>
  <si>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</si>
  <si>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</si>
  <si>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</si>
  <si>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</si>
  <si>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</si>
  <si>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</si>
  <si>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</si>
  <si>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</si>
  <si>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</si>
  <si>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</si>
  <si>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</si>
  <si>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</si>
  <si>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</si>
  <si>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</si>
  <si>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</si>
  <si>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</si>
  <si>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</si>
  <si>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Provisión incorrecta</t>
  </si>
  <si>
    <t>JUDICIALES</t>
  </si>
  <si>
    <t>PREJUDICIALES</t>
  </si>
  <si>
    <t>Plantilla de certificado de Control Interno eKOGUI</t>
  </si>
  <si>
    <t>ACTUALIZADO</t>
  </si>
  <si>
    <t>Entre 21-03-2019 y 31-12-2019</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</si>
  <si>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</si>
  <si>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</si>
  <si>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</si>
  <si>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</si>
  <si>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</si>
  <si>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</si>
  <si>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</si>
  <si>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</si>
  <si>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</si>
  <si>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</si>
  <si>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</si>
  <si>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</si>
  <si>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</si>
  <si>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</si>
  <si>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</si>
  <si>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</si>
  <si>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</si>
  <si>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</si>
  <si>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</si>
  <si>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</si>
  <si>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</si>
  <si>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</si>
  <si>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</si>
  <si>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</si>
  <si>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</si>
  <si>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</si>
  <si>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</si>
  <si>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</si>
  <si>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Posteriores al 01-01-2020</t>
  </si>
  <si>
    <t>Fecha de diligenciamiento de plantilla</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</si>
  <si>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</si>
  <si>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</si>
  <si>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</si>
  <si>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</si>
  <si>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</si>
  <si>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</si>
  <si>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</si>
  <si>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</si>
  <si>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</si>
  <si>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</si>
  <si>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</si>
  <si>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</si>
  <si>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</si>
  <si>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</si>
  <si>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</si>
  <si>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</si>
  <si>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</si>
  <si>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</si>
  <si>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</si>
  <si>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</si>
  <si>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</si>
  <si>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</si>
  <si>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</si>
  <si>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</si>
  <si>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</si>
  <si>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</si>
  <si>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</si>
  <si>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</si>
  <si>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</si>
  <si>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</si>
  <si>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</si>
  <si>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</si>
  <si>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</si>
  <si>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</si>
  <si>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</si>
  <si>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</si>
  <si>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</si>
  <si>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</si>
  <si>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</si>
  <si>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</si>
  <si>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Abogados al 30 de junio de 2022</t>
  </si>
  <si>
    <t>ABOGADOS ACTIVOS AL 30-06-2022</t>
  </si>
  <si>
    <t>PROCESOS ACTIVOS AL 30 DE JUNIO DE 2022</t>
  </si>
  <si>
    <t>(1) Con fecha de registro anterior al 15-06-2022</t>
  </si>
  <si>
    <t>PROCESOS TERMINADOS PRIMER SEMESTRE 2022</t>
  </si>
  <si>
    <t>TERMINADOS EN EKOGUI DURANTE PRIMER SEMESTRE 2022 (2)</t>
  </si>
  <si>
    <t>(2) Con fecha de actuación en 2022</t>
  </si>
  <si>
    <r>
      <t>(3)En el reporte de activos al 30 de junio verifique la columna</t>
    </r>
    <r>
      <rPr>
        <b/>
        <i/>
        <sz val="9"/>
        <color theme="1"/>
        <rFont val="Calibri"/>
        <family val="2"/>
        <scheme val="minor"/>
      </rPr>
      <t xml:space="preserve"> Estado General del proceso</t>
    </r>
  </si>
  <si>
    <t>(4)Equivalente a un valor indexado de $33.000 millones a 30 de junio de 2022</t>
  </si>
  <si>
    <t>PREJUDICIALES ACTIVAS AL 30-06-2022</t>
  </si>
  <si>
    <t>REGISTRO POSTERIOR AL 31/12/2021</t>
  </si>
  <si>
    <t>REGISTRO EN PRIMER SEMESTRE DE 2021 Y ANTERIORES</t>
  </si>
  <si>
    <t>REGISTRO ENTRE  1 DE JULIO Y 31 DE DICIEMBRE DE 2021</t>
  </si>
  <si>
    <t>CANTIDAD DE ABOGADOS LITIGANDO SEGUN JURIDICA</t>
  </si>
  <si>
    <t>RETIRADOS EN LA ENTIDAD PRIMER SEMESTRE 2022 SEGÚN JURIDICA</t>
  </si>
  <si>
    <t>CANTIDAD DE PROCESOS ACTIVOS SEGÚN JURIDICA</t>
  </si>
  <si>
    <t>PROCESOS TERMINADOS DURANTE PRIMER SEMESTRE 2022 SEGÚN JURIDICA</t>
  </si>
  <si>
    <t>PROCESO TERMINADOS EN EKOGUI AL 30 DE JUNIO 2022</t>
  </si>
  <si>
    <t>PROCESOS ACTIVOS EN EKOGUI CON ESTADO TERMINADO(3)</t>
  </si>
  <si>
    <t>Cantidad de procesos de más de 33.000 SMMLV SEGÚN JURIDICA</t>
  </si>
  <si>
    <t>PROCESOS ACTIVOS EN EKOGUI  EN CALIDAD DEMANDADO AL 30-06-2022</t>
  </si>
  <si>
    <t>PROCESOS EN EKOGUI CON CALIFICACIÓN PRIMER SEMESTRE 2022</t>
  </si>
  <si>
    <t>PROCESOS EN EKOGUI CON CALIFICACIÓN ANTERIOR A 31-12-2021</t>
  </si>
  <si>
    <t>PROCESOS EN EKOGUI SIN CALIFICACIÓN</t>
  </si>
  <si>
    <t>(6) Solo se consideran los procesos activos en e-Kogui - calidad demandado al 30 de JUNIO de 2022 que tengan calificación de riesgo</t>
  </si>
  <si>
    <t>TOTAL PREJUDICIALES ACTIVOS SEGÚN JURIDICA</t>
  </si>
  <si>
    <t>ARBITRAMENTOS ACTIVOS AL 30-06-2022 SEGÚN JURIDICA</t>
  </si>
  <si>
    <t>TOTAL ARBITRAMENTOS TERMINADOS  AL 30-06-2022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</si>
  <si>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</si>
  <si>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</si>
  <si>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TOTAL PREJUDICIALES TERMINADOS I SEM. 2022 SEGÚN JURIDICA</t>
  </si>
  <si>
    <t>ARBITRAMENTOS ACTIVOS REGISTRADOS EN EKOGUI</t>
  </si>
  <si>
    <t>INACTIVADOS EN EKOGUI PRIMER SEMESTRE 2022</t>
  </si>
  <si>
    <t>Realiza Pagos por SIIF</t>
  </si>
  <si>
    <t>NOMBRE ENTIDAD QUE REPORTA</t>
  </si>
  <si>
    <t>NOMBRE JEFE CONTROL INTERNO QUE REPORTA</t>
  </si>
  <si>
    <t>calificar o cualificar o comparar a las entidades, no hay valores buenos ni malos. No es una hoja de validaciÓn</t>
  </si>
  <si>
    <t>Uso del Módulo Pagos</t>
  </si>
  <si>
    <t>TERMINADOS EN EKOGUI ÚLTIMA ACTUACIÓN  I SEM. 2022</t>
  </si>
  <si>
    <t>Su entidad utilizo el modulo de pagos en 2022-I?</t>
  </si>
  <si>
    <t>PREJUDICIALES TERMINADAS PRIMER SEMESTRE 2022</t>
  </si>
  <si>
    <t>SANDRA LUCÍA LÓPEZ PEDREROS</t>
  </si>
  <si>
    <t xml:space="preserve">LINA MARCELA QUINTERO DÚRAN </t>
  </si>
  <si>
    <t xml:space="preserve">FREDDY GUILLERMO HERNÁNDEZ SANDOVAL </t>
  </si>
  <si>
    <t>ADRIANA DEL PILAR DOMÍNGUEZ FORIGUA</t>
  </si>
  <si>
    <t xml:space="preserve">1. El rol de Jefe jurídico/abogado, activado desde el 2021-12-03, a cargo de Lina Marcela Quintero Durán con identificación 1140842327, la Oficina de Control Interno recomienda debe ser desactivado por el perfil Administrador de la entidad/Secretario Técnico del Comité de Conciliación/Abogado, en razón a que se ha desvinculado de la entidad desde el mes de julio de 2022. 
2. Por parte de la Oficina de Control Interno, la actualización del rol Jefe de Oficina de Control Interno fue realizada por parte de la funcionaria Johanna Ávila Caballero, el 2022-03-09. 
3. El rol de administrador de la entidad, no cuenta con certificación, pero se generará la recomendación para realizar la capacitación correspondiente a la funcionaria que cuenta con el rol.
</t>
  </si>
  <si>
    <t xml:space="preserve">1.  Recomendar al rol de Administrador la inactivación de los abogados que en la actualidad no se encuentran vinculados al INM.  Se aclara que, para el primer semestre de 2022, sólo se contaba con 3 abogadas. 
2. Recomendar al rol de Administrador la inactivación de la exfuncionaria Abogada Lina Marcela Quintero Durán, que no hace parte desde julio de 2022 del INM. 
3. Recomendar al rol de Administrador la inactivación de la ex-contratista Julieth Carolina Riascos Vargas, no cuenta contrato de prestación de servicios vigente. 
4. Recomendar a los abogados activos actualizar tanto la información de estudio de posgrados como el tiempo de experiencia en la defensa jurídica (la abogada Lina Marcela Quintero Durán, no relacionó en e-KOGUI su especialización, aunque la tiene relacionada en su hoja de vida)
</t>
  </si>
  <si>
    <t xml:space="preserve">Instituto Nacional de Metrología </t>
  </si>
  <si>
    <t>Sandra Lucía López Pedreros</t>
  </si>
  <si>
    <t xml:space="preserve">1. En razón a que no se dieron por terminado procesos en el primer semestre de 2022, tenemos que los procesos terminados a ser analizados fue de "cero". 2. En la consulta realizada en el reporte de procesos activos en la calificación del riesgo, los 11 procesos con que cuenta el INM cuenta con la calificación el 8 de septiembre de 2022. </t>
  </si>
  <si>
    <t>1. El número de la muestra aparece "cero"  La entidad no cuenta con conciliaciones extrajudiciales para el primer semestre de 2022.</t>
  </si>
  <si>
    <t>1. El INM no cuenta con procesos arbitrales.</t>
  </si>
  <si>
    <t>1. Si bien se gestionan pagos por SIIF Nación, no se realizaron pagos en el primer semestre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</si>
</sst>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33">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0" xfId="0" applyFill="1" applyBorder="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applyFont="1"/>
    <xf numFmtId="164" fontId="15" fillId="0" borderId="0" xfId="2" applyNumberFormat="1"/>
    <xf numFmtId="0" fontId="15" fillId="4" borderId="0" xfId="2" applyFont="1" applyFill="1"/>
    <xf numFmtId="0" fontId="15" fillId="4" borderId="0" xfId="2" applyFont="1" applyFill="1" applyBorder="1"/>
    <xf numFmtId="0" fontId="15" fillId="4" borderId="0" xfId="2" applyFont="1"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Fill="1" applyBorder="1" applyProtection="1">
      <protection hidden="1"/>
    </xf>
    <xf numFmtId="0" fontId="0" fillId="2" borderId="0" xfId="0" applyFill="1" applyBorder="1" applyAlignment="1">
      <alignment horizontal="center"/>
    </xf>
    <xf numFmtId="0" fontId="4" fillId="2" borderId="0" xfId="0" applyFont="1" applyFill="1" applyProtection="1"/>
    <xf numFmtId="0" fontId="0" fillId="2" borderId="0" xfId="0" applyFill="1" applyBorder="1" applyAlignment="1" applyProtection="1"/>
    <xf numFmtId="0" fontId="0" fillId="0" borderId="0" xfId="0" applyBorder="1" applyProtection="1"/>
    <xf numFmtId="0" fontId="0" fillId="2" borderId="5" xfId="0" applyFill="1" applyBorder="1" applyProtection="1"/>
    <xf numFmtId="0" fontId="0" fillId="0" borderId="0" xfId="0" applyFill="1" applyProtection="1"/>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Border="1" applyAlignment="1">
      <alignment horizontal="center" vertical="center"/>
    </xf>
    <xf numFmtId="0" fontId="17" fillId="0" borderId="0" xfId="0" applyFont="1" applyBorder="1" applyAlignment="1">
      <alignment horizontal="center"/>
    </xf>
    <xf numFmtId="0" fontId="2" fillId="3" borderId="19" xfId="0" applyFont="1" applyFill="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wrapText="1"/>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wrapText="1"/>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protection locked="0"/>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6" borderId="13" xfId="0" applyFill="1" applyBorder="1" applyAlignment="1" applyProtection="1">
      <alignment horizontal="left" vertical="top"/>
      <protection locked="0"/>
    </xf>
    <xf numFmtId="0" fontId="0" fillId="6" borderId="23" xfId="0" applyFill="1" applyBorder="1" applyAlignment="1" applyProtection="1">
      <alignment horizontal="center" vertical="top"/>
      <protection locked="0"/>
    </xf>
    <xf numFmtId="0" fontId="0" fillId="6" borderId="27" xfId="0" applyFill="1" applyBorder="1" applyAlignment="1" applyProtection="1">
      <alignment horizontal="center" vertical="top"/>
      <protection locked="0"/>
    </xf>
    <xf numFmtId="0" fontId="0" fillId="6" borderId="24" xfId="0"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Border="1" applyAlignment="1">
      <alignment horizontal="center"/>
    </xf>
  </cellXfs>
  <cellStyles count="3">
    <cellStyle name="Excel Built-in Normal" xfId="2"/>
    <cellStyle name="Normal" xfId="0" builtinId="0"/>
    <cellStyle name="Porcentaje" xfId="1" builtinId="5"/>
  </cellStyles>
  <dxfs count="4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xmlns=""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xmlns=""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xmlns=""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xmlns=""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xmlns=""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xmlns=""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xmlns=""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xmlns=""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xmlns=""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xmlns=""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xmlns=""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xmlns=""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xmlns=""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xmlns=""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xmlns=""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xmlns=""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xmlns=""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xmlns=""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xmlns=""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O18"/>
  <sheetViews>
    <sheetView showGridLines="0" topLeftCell="A4" workbookViewId="0"/>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92" t="s">
        <v>75</v>
      </c>
      <c r="C3" s="93"/>
      <c r="D3" s="93"/>
      <c r="E3" s="93"/>
      <c r="F3" s="93"/>
      <c r="G3" s="93"/>
      <c r="H3" s="93"/>
      <c r="I3" s="93"/>
      <c r="J3" s="93"/>
      <c r="K3" s="93"/>
      <c r="L3" s="93"/>
      <c r="M3" s="93"/>
      <c r="N3" s="93"/>
      <c r="O3" s="94"/>
    </row>
    <row r="4" spans="2:15" ht="23.25" x14ac:dyDescent="0.35">
      <c r="B4" s="92" t="s">
        <v>11</v>
      </c>
      <c r="C4" s="93"/>
      <c r="D4" s="93"/>
      <c r="E4" s="93"/>
      <c r="F4" s="93"/>
      <c r="G4" s="93"/>
      <c r="H4" s="93"/>
      <c r="I4" s="93"/>
      <c r="J4" s="93"/>
      <c r="K4" s="93"/>
      <c r="L4" s="93"/>
      <c r="M4" s="93"/>
      <c r="N4" s="93"/>
      <c r="O4" s="94"/>
    </row>
    <row r="5" spans="2:15" x14ac:dyDescent="0.25">
      <c r="B5" s="5"/>
      <c r="C5" s="6"/>
      <c r="D5" s="6"/>
      <c r="E5" s="6"/>
      <c r="F5" s="6"/>
      <c r="G5" s="6"/>
      <c r="H5" s="6"/>
      <c r="I5" s="6"/>
      <c r="J5" s="6"/>
      <c r="K5" s="6"/>
      <c r="L5" s="6"/>
      <c r="M5" s="6"/>
      <c r="N5" s="6"/>
      <c r="O5" s="7"/>
    </row>
    <row r="6" spans="2:15" x14ac:dyDescent="0.25">
      <c r="B6" s="5"/>
      <c r="C6" s="95" t="s">
        <v>87</v>
      </c>
      <c r="D6" s="95"/>
      <c r="E6" s="95"/>
      <c r="F6" s="95"/>
      <c r="G6" s="95"/>
      <c r="H6" s="95"/>
      <c r="I6" s="95"/>
      <c r="J6" s="95"/>
      <c r="K6" s="95"/>
      <c r="L6" s="95"/>
      <c r="M6" s="95"/>
      <c r="N6" s="95"/>
      <c r="O6" s="7"/>
    </row>
    <row r="7" spans="2:15" x14ac:dyDescent="0.25">
      <c r="B7" s="5"/>
      <c r="C7" s="95"/>
      <c r="D7" s="95"/>
      <c r="E7" s="95"/>
      <c r="F7" s="95"/>
      <c r="G7" s="95"/>
      <c r="H7" s="95"/>
      <c r="I7" s="95"/>
      <c r="J7" s="95"/>
      <c r="K7" s="95"/>
      <c r="L7" s="95"/>
      <c r="M7" s="95"/>
      <c r="N7" s="95"/>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fESCBRSONm1O8Dc0JOnjB+qZOu1d6CiIMR9AFNICnNkTv8GeL/e0JsFltcWbeY82mSirBMQYcES73YQY5x/fMQ==" saltValue="rfeIy2Ycu5WCYD7kyrPZ3g=="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5:T19"/>
  <sheetViews>
    <sheetView zoomScale="89" zoomScaleNormal="89" workbookViewId="0">
      <selection activeCell="E28" sqref="E28"/>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96" t="s">
        <v>105</v>
      </c>
      <c r="C7" s="97"/>
      <c r="D7" s="97"/>
      <c r="E7" s="97"/>
      <c r="F7" s="97"/>
      <c r="G7" s="98"/>
      <c r="T7" s="1" t="s">
        <v>12</v>
      </c>
    </row>
    <row r="8" spans="2:20" ht="15.75" thickBot="1" x14ac:dyDescent="0.3">
      <c r="B8" s="14"/>
      <c r="C8" s="15"/>
      <c r="D8" s="104" t="s">
        <v>143</v>
      </c>
      <c r="E8" s="104"/>
      <c r="F8" s="15"/>
      <c r="G8" s="16"/>
      <c r="T8" s="1" t="s">
        <v>13</v>
      </c>
    </row>
    <row r="9" spans="2:20" ht="15.75" thickBot="1" x14ac:dyDescent="0.3">
      <c r="B9" s="102" t="s">
        <v>107</v>
      </c>
      <c r="C9" s="103"/>
      <c r="D9" s="79">
        <v>44813</v>
      </c>
      <c r="E9" s="15"/>
      <c r="F9" s="15"/>
      <c r="G9" s="16"/>
      <c r="T9" s="1" t="s">
        <v>14</v>
      </c>
    </row>
    <row r="10" spans="2:20" x14ac:dyDescent="0.25">
      <c r="B10" s="14" t="s">
        <v>145</v>
      </c>
      <c r="C10" s="15"/>
      <c r="D10" s="15"/>
      <c r="E10" s="15"/>
      <c r="F10" s="15"/>
      <c r="G10" s="67">
        <v>43545</v>
      </c>
    </row>
    <row r="11" spans="2:20" x14ac:dyDescent="0.25">
      <c r="B11" s="22" t="s">
        <v>15</v>
      </c>
      <c r="C11" s="23" t="s">
        <v>16</v>
      </c>
      <c r="D11" s="24" t="s">
        <v>6</v>
      </c>
      <c r="E11" s="23" t="s">
        <v>7</v>
      </c>
      <c r="F11" s="23" t="s">
        <v>17</v>
      </c>
      <c r="G11" s="25" t="s">
        <v>76</v>
      </c>
    </row>
    <row r="12" spans="2:20" x14ac:dyDescent="0.25">
      <c r="B12" s="21" t="s">
        <v>0</v>
      </c>
      <c r="C12" s="78" t="s">
        <v>12</v>
      </c>
      <c r="D12" s="79">
        <v>43721</v>
      </c>
      <c r="E12" s="78" t="s">
        <v>191</v>
      </c>
      <c r="F12" s="79">
        <v>44391</v>
      </c>
      <c r="G12" s="80" t="str">
        <f>+IF(C12="SI",IF(F12&lt;$G$10,"DESACTUALIZADO",""),"")</f>
        <v/>
      </c>
      <c r="H12" s="42">
        <f t="shared" ref="H12:H17" si="0">+IF(C12="N/A",1,0)</f>
        <v>0</v>
      </c>
      <c r="I12" s="42">
        <f t="shared" ref="I12:I17" si="1">+IF(C12="Si",1,0)</f>
        <v>1</v>
      </c>
      <c r="J12" s="42">
        <f t="shared" ref="J12:J17" si="2">+IF(C12="No",1,0)</f>
        <v>0</v>
      </c>
    </row>
    <row r="13" spans="2:20" x14ac:dyDescent="0.25">
      <c r="B13" s="21" t="s">
        <v>1</v>
      </c>
      <c r="C13" s="78" t="s">
        <v>12</v>
      </c>
      <c r="D13" s="79">
        <v>44533</v>
      </c>
      <c r="E13" s="78" t="s">
        <v>190</v>
      </c>
      <c r="F13" s="79">
        <v>44596</v>
      </c>
      <c r="G13" s="80" t="str">
        <f t="shared" ref="G13:G17" si="3">+IF(C13="SI",IF(F13&lt;$G$10,"DESACTUALIZADO",""),"")</f>
        <v/>
      </c>
      <c r="H13" s="42">
        <f t="shared" si="0"/>
        <v>0</v>
      </c>
      <c r="I13" s="42">
        <f t="shared" si="1"/>
        <v>1</v>
      </c>
      <c r="J13" s="42">
        <f t="shared" si="2"/>
        <v>0</v>
      </c>
    </row>
    <row r="14" spans="2:20" x14ac:dyDescent="0.25">
      <c r="B14" s="21" t="s">
        <v>2</v>
      </c>
      <c r="C14" s="78" t="s">
        <v>13</v>
      </c>
      <c r="D14" s="79"/>
      <c r="E14" s="78"/>
      <c r="F14" s="79"/>
      <c r="G14" s="80" t="str">
        <f t="shared" si="3"/>
        <v/>
      </c>
      <c r="H14" s="42">
        <f t="shared" si="0"/>
        <v>0</v>
      </c>
      <c r="I14" s="42">
        <f t="shared" si="1"/>
        <v>0</v>
      </c>
      <c r="J14" s="42">
        <f t="shared" si="2"/>
        <v>1</v>
      </c>
      <c r="T14" s="48">
        <v>43545</v>
      </c>
    </row>
    <row r="15" spans="2:20" x14ac:dyDescent="0.25">
      <c r="B15" s="21" t="s">
        <v>3</v>
      </c>
      <c r="C15" s="78" t="s">
        <v>12</v>
      </c>
      <c r="D15" s="79">
        <v>42258</v>
      </c>
      <c r="E15" s="78" t="s">
        <v>189</v>
      </c>
      <c r="F15" s="79">
        <v>44629</v>
      </c>
      <c r="G15" s="80" t="str">
        <f t="shared" si="3"/>
        <v/>
      </c>
      <c r="H15" s="42">
        <f t="shared" si="0"/>
        <v>0</v>
      </c>
      <c r="I15" s="42">
        <f t="shared" si="1"/>
        <v>1</v>
      </c>
      <c r="J15" s="42">
        <f t="shared" si="2"/>
        <v>0</v>
      </c>
    </row>
    <row r="16" spans="2:20" x14ac:dyDescent="0.25">
      <c r="B16" s="21" t="s">
        <v>4</v>
      </c>
      <c r="C16" s="78" t="s">
        <v>12</v>
      </c>
      <c r="D16" s="79">
        <v>44470</v>
      </c>
      <c r="E16" s="78" t="s">
        <v>192</v>
      </c>
      <c r="F16" s="79">
        <v>44603</v>
      </c>
      <c r="G16" s="80" t="str">
        <f t="shared" si="3"/>
        <v/>
      </c>
      <c r="H16" s="42">
        <f t="shared" si="0"/>
        <v>0</v>
      </c>
      <c r="I16" s="42">
        <f t="shared" si="1"/>
        <v>1</v>
      </c>
      <c r="J16" s="42">
        <f t="shared" si="2"/>
        <v>0</v>
      </c>
    </row>
    <row r="17" spans="2:10" x14ac:dyDescent="0.25">
      <c r="B17" s="21" t="s">
        <v>5</v>
      </c>
      <c r="C17" s="78" t="s">
        <v>12</v>
      </c>
      <c r="D17" s="79">
        <v>44470</v>
      </c>
      <c r="E17" s="78" t="s">
        <v>192</v>
      </c>
      <c r="F17" s="79"/>
      <c r="G17" s="80" t="str">
        <f t="shared" si="3"/>
        <v>DESACTUALIZADO</v>
      </c>
      <c r="H17" s="42">
        <f t="shared" si="0"/>
        <v>0</v>
      </c>
      <c r="I17" s="42">
        <f t="shared" si="1"/>
        <v>1</v>
      </c>
      <c r="J17" s="42">
        <f t="shared" si="2"/>
        <v>0</v>
      </c>
    </row>
    <row r="18" spans="2:10" x14ac:dyDescent="0.25">
      <c r="B18" s="14"/>
      <c r="C18" s="15"/>
      <c r="D18" s="15"/>
      <c r="E18" s="15"/>
      <c r="F18" s="15"/>
      <c r="G18" s="16"/>
    </row>
    <row r="19" spans="2:10" ht="94.5" customHeight="1" thickBot="1" x14ac:dyDescent="0.3">
      <c r="B19" s="62" t="s">
        <v>90</v>
      </c>
      <c r="C19" s="99" t="s">
        <v>193</v>
      </c>
      <c r="D19" s="100"/>
      <c r="E19" s="100"/>
      <c r="F19" s="100"/>
      <c r="G19" s="101"/>
    </row>
  </sheetData>
  <sheetProtection algorithmName="SHA-512" hashValue="guBwrDrRnk1KuL1QTxzhX+93X5l/aUSlJP3gAz5OjRJbKk1gJlGrcA8FEPrUFZMHmi3icEReOMBE9XonogNp0w==" saltValue="7DocmJkL4AB8U+xMv4KRdA==" spinCount="100000" sheet="1" objects="1" scenarios="1"/>
  <dataConsolidate/>
  <mergeCells count="4">
    <mergeCell ref="B7:G7"/>
    <mergeCell ref="C19:G19"/>
    <mergeCell ref="B9:C9"/>
    <mergeCell ref="D8:E8"/>
  </mergeCells>
  <conditionalFormatting sqref="C12:C17">
    <cfRule type="containsText" dxfId="41" priority="13" operator="containsText" text="N/A">
      <formula>NOT(ISERROR(SEARCH("N/A",C12)))</formula>
    </cfRule>
    <cfRule type="containsBlanks" dxfId="40" priority="21">
      <formula>LEN(TRIM(C12))=0</formula>
    </cfRule>
  </conditionalFormatting>
  <conditionalFormatting sqref="D9">
    <cfRule type="containsBlanks" dxfId="39" priority="20">
      <formula>LEN(TRIM(D9))=0</formula>
    </cfRule>
  </conditionalFormatting>
  <conditionalFormatting sqref="D12:F17">
    <cfRule type="containsBlanks" dxfId="38" priority="15">
      <formula>LEN(TRIM(D12))=0</formula>
    </cfRule>
  </conditionalFormatting>
  <conditionalFormatting sqref="C19">
    <cfRule type="containsBlanks" dxfId="37" priority="14">
      <formula>LEN(TRIM(C19))=0</formula>
    </cfRule>
  </conditionalFormatting>
  <conditionalFormatting sqref="D12:F12 D13:D17">
    <cfRule type="expression" dxfId="36" priority="9">
      <formula>OR($C$12="No",$C$12="N/A")</formula>
    </cfRule>
  </conditionalFormatting>
  <conditionalFormatting sqref="D14:F14">
    <cfRule type="expression" dxfId="35" priority="8">
      <formula>OR($C$14="No",$C$14="N/A")</formula>
    </cfRule>
  </conditionalFormatting>
  <conditionalFormatting sqref="D13:F13">
    <cfRule type="expression" dxfId="34" priority="6">
      <formula>OR($C$13="No",$C$13="N/A")</formula>
    </cfRule>
  </conditionalFormatting>
  <conditionalFormatting sqref="D15:F15">
    <cfRule type="expression" dxfId="33" priority="4">
      <formula>OR($C$15="No",$C$15="N/A")</formula>
    </cfRule>
  </conditionalFormatting>
  <conditionalFormatting sqref="D16:F16">
    <cfRule type="expression" dxfId="32" priority="3">
      <formula>OR($C$16="No",$C$16="N/A")</formula>
    </cfRule>
  </conditionalFormatting>
  <conditionalFormatting sqref="D17:F17">
    <cfRule type="expression" dxfId="31" priority="2">
      <formula>OR($C$17="No",$C$17="N/A")</formula>
    </cfRule>
  </conditionalFormatting>
  <conditionalFormatting sqref="F13:F17">
    <cfRule type="expression" dxfId="30" priority="1">
      <formula>OR($C$12="No",$C$12="N/A")</formula>
    </cfRule>
  </conditionalFormatting>
  <dataValidations count="5">
    <dataValidation type="date" showInputMessage="1" showErrorMessage="1" promptTitle="Fecha de Generacion del Reporte" prompt="Indique la fecha en que genera o Elabora este reporte de Usuarios Activos  No Abogados" sqref="D9">
      <formula1>44742</formula1>
      <formula2>44823</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formula1>$T$7:$T$9</formula1>
    </dataValidation>
    <dataValidation showInputMessage="1" showErrorMessage="1" sqref="E12 E14:E17"/>
    <dataValidation showInputMessage="1" showErrorMessage="1" errorTitle="Fecha invalida" error="La fecha debe estar entre el 01/01/2011 y el 31/03/2022" sqref="E13"/>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D12:D17 F12:F17">
      <formula1>40544</formula1>
      <formula2>44823</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V26"/>
  <sheetViews>
    <sheetView showGridLines="0" zoomScale="91" zoomScaleNormal="91" workbookViewId="0">
      <selection activeCell="L27" sqref="L27"/>
    </sheetView>
  </sheetViews>
  <sheetFormatPr baseColWidth="10" defaultRowHeight="15" x14ac:dyDescent="0.25"/>
  <cols>
    <col min="1" max="1" width="3.85546875" style="1" customWidth="1"/>
    <col min="2" max="2" width="11.42578125" style="1"/>
    <col min="3" max="3" width="58.5703125" style="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4</v>
      </c>
    </row>
    <row r="4" spans="2:22" x14ac:dyDescent="0.25">
      <c r="B4" s="14"/>
      <c r="C4" s="15"/>
      <c r="D4" s="15"/>
      <c r="E4" s="15"/>
      <c r="F4" s="15"/>
      <c r="G4" s="15"/>
      <c r="H4" s="16"/>
    </row>
    <row r="5" spans="2:22" x14ac:dyDescent="0.25">
      <c r="B5" s="14"/>
      <c r="C5" s="15"/>
      <c r="D5" s="15" t="s">
        <v>143</v>
      </c>
      <c r="E5" s="15"/>
      <c r="F5" s="15"/>
      <c r="G5" s="15"/>
      <c r="H5" s="16"/>
    </row>
    <row r="6" spans="2:22" ht="15" customHeight="1" x14ac:dyDescent="0.25">
      <c r="B6" s="14"/>
      <c r="C6" s="27"/>
      <c r="D6" s="27"/>
      <c r="E6" s="27"/>
      <c r="G6" s="32"/>
      <c r="H6" s="33"/>
    </row>
    <row r="7" spans="2:22" ht="17.25" customHeight="1" x14ac:dyDescent="0.35">
      <c r="B7" s="14"/>
      <c r="C7" s="20" t="s">
        <v>107</v>
      </c>
      <c r="D7" s="79">
        <v>44817</v>
      </c>
      <c r="E7" s="26"/>
      <c r="F7" s="105" t="str">
        <f>"Seleccione una muestra de "&amp;V3&amp;" abogados activos y complete la siguiente tabla"</f>
        <v>Seleccione una muestra de 4 abogados activos y complete la siguiente tabla</v>
      </c>
      <c r="G7" s="106"/>
      <c r="H7" s="33"/>
    </row>
    <row r="8" spans="2:22" x14ac:dyDescent="0.25">
      <c r="B8" s="14"/>
      <c r="D8" s="15"/>
      <c r="E8" s="15"/>
      <c r="F8" s="107"/>
      <c r="G8" s="108"/>
      <c r="H8" s="16"/>
      <c r="T8" s="1" t="s">
        <v>13</v>
      </c>
    </row>
    <row r="9" spans="2:22" ht="23.25" x14ac:dyDescent="0.25">
      <c r="B9" s="14"/>
      <c r="C9" s="34" t="s">
        <v>148</v>
      </c>
      <c r="E9" s="6"/>
      <c r="F9" s="24" t="s">
        <v>94</v>
      </c>
      <c r="G9" s="24" t="s">
        <v>19</v>
      </c>
      <c r="H9" s="16"/>
      <c r="T9" s="1" t="s">
        <v>14</v>
      </c>
    </row>
    <row r="10" spans="2:22" x14ac:dyDescent="0.25">
      <c r="B10" s="14"/>
      <c r="C10" s="23" t="s">
        <v>149</v>
      </c>
      <c r="D10" s="23" t="s">
        <v>23</v>
      </c>
      <c r="E10" s="6"/>
      <c r="F10" s="20" t="s">
        <v>91</v>
      </c>
      <c r="G10" s="78">
        <v>4</v>
      </c>
      <c r="H10" s="16"/>
    </row>
    <row r="11" spans="2:22" x14ac:dyDescent="0.25">
      <c r="B11" s="14"/>
      <c r="C11" s="20" t="s">
        <v>161</v>
      </c>
      <c r="D11" s="78">
        <v>3</v>
      </c>
      <c r="E11" s="6"/>
      <c r="F11" s="20" t="s">
        <v>92</v>
      </c>
      <c r="G11" s="78">
        <v>4</v>
      </c>
      <c r="H11" s="16"/>
    </row>
    <row r="12" spans="2:22" x14ac:dyDescent="0.25">
      <c r="B12" s="14"/>
      <c r="C12" s="20" t="s">
        <v>22</v>
      </c>
      <c r="D12" s="78">
        <v>4</v>
      </c>
      <c r="E12" s="6"/>
      <c r="F12" s="20" t="s">
        <v>93</v>
      </c>
      <c r="G12" s="78">
        <v>4</v>
      </c>
      <c r="H12" s="16"/>
    </row>
    <row r="13" spans="2:22" x14ac:dyDescent="0.25">
      <c r="B13" s="14"/>
      <c r="C13" s="20" t="s">
        <v>26</v>
      </c>
      <c r="D13" s="78">
        <v>3</v>
      </c>
      <c r="E13" s="6"/>
      <c r="F13" s="52" t="s">
        <v>99</v>
      </c>
      <c r="G13" s="51"/>
      <c r="H13" s="16"/>
    </row>
    <row r="14" spans="2:22" x14ac:dyDescent="0.25">
      <c r="B14" s="14"/>
      <c r="E14" s="6"/>
      <c r="F14" s="53" t="s">
        <v>100</v>
      </c>
      <c r="G14" s="54"/>
      <c r="H14" s="16"/>
    </row>
    <row r="15" spans="2:22" x14ac:dyDescent="0.25">
      <c r="B15" s="14"/>
      <c r="E15" s="6"/>
      <c r="H15" s="16"/>
    </row>
    <row r="16" spans="2:22" x14ac:dyDescent="0.25">
      <c r="B16" s="14"/>
      <c r="C16" s="23" t="s">
        <v>24</v>
      </c>
      <c r="D16" s="23" t="s">
        <v>23</v>
      </c>
      <c r="E16" s="6"/>
      <c r="F16" s="24" t="s">
        <v>103</v>
      </c>
      <c r="G16" s="24" t="s">
        <v>19</v>
      </c>
      <c r="H16" s="16"/>
    </row>
    <row r="17" spans="2:8" x14ac:dyDescent="0.25">
      <c r="B17" s="14"/>
      <c r="C17" s="20" t="s">
        <v>162</v>
      </c>
      <c r="D17" s="78">
        <v>0</v>
      </c>
      <c r="E17" s="6"/>
      <c r="F17" s="20" t="s">
        <v>106</v>
      </c>
      <c r="G17" s="78">
        <v>2</v>
      </c>
      <c r="H17" s="16"/>
    </row>
    <row r="18" spans="2:8" x14ac:dyDescent="0.25">
      <c r="B18" s="14"/>
      <c r="C18" s="20" t="s">
        <v>180</v>
      </c>
      <c r="D18" s="78">
        <v>0</v>
      </c>
      <c r="E18" s="6"/>
      <c r="F18" s="49" t="s">
        <v>77</v>
      </c>
      <c r="G18" s="78">
        <v>1</v>
      </c>
      <c r="H18" s="16"/>
    </row>
    <row r="19" spans="2:8" x14ac:dyDescent="0.25">
      <c r="B19" s="14"/>
      <c r="C19" s="59"/>
      <c r="E19" s="6"/>
      <c r="F19" s="20" t="s">
        <v>96</v>
      </c>
      <c r="G19" s="78">
        <v>0</v>
      </c>
      <c r="H19" s="16"/>
    </row>
    <row r="20" spans="2:8" x14ac:dyDescent="0.25">
      <c r="B20" s="14"/>
      <c r="C20" s="59"/>
      <c r="E20" s="6"/>
      <c r="F20" s="20" t="s">
        <v>25</v>
      </c>
      <c r="G20" s="78">
        <v>1</v>
      </c>
      <c r="H20" s="16"/>
    </row>
    <row r="21" spans="2:8" x14ac:dyDescent="0.25">
      <c r="B21" s="14"/>
      <c r="C21" s="82" t="s">
        <v>95</v>
      </c>
      <c r="D21" s="83"/>
      <c r="E21" s="84"/>
      <c r="F21" s="86"/>
      <c r="G21" s="86"/>
      <c r="H21" s="85"/>
    </row>
    <row r="22" spans="2:8" x14ac:dyDescent="0.25">
      <c r="B22" s="14"/>
      <c r="C22" s="109" t="s">
        <v>194</v>
      </c>
      <c r="D22" s="110"/>
      <c r="E22" s="110"/>
      <c r="F22" s="110"/>
      <c r="G22" s="111"/>
      <c r="H22" s="16"/>
    </row>
    <row r="23" spans="2:8" x14ac:dyDescent="0.25">
      <c r="B23" s="14"/>
      <c r="C23" s="112"/>
      <c r="D23" s="113"/>
      <c r="E23" s="113"/>
      <c r="F23" s="113"/>
      <c r="G23" s="114"/>
      <c r="H23" s="16"/>
    </row>
    <row r="24" spans="2:8" x14ac:dyDescent="0.25">
      <c r="B24" s="14"/>
      <c r="C24" s="112"/>
      <c r="D24" s="113"/>
      <c r="E24" s="113"/>
      <c r="F24" s="113"/>
      <c r="G24" s="114"/>
      <c r="H24" s="16"/>
    </row>
    <row r="25" spans="2:8" x14ac:dyDescent="0.25">
      <c r="B25" s="14"/>
      <c r="C25" s="115"/>
      <c r="D25" s="116"/>
      <c r="E25" s="116"/>
      <c r="F25" s="116"/>
      <c r="G25" s="117"/>
      <c r="H25" s="16"/>
    </row>
    <row r="26" spans="2:8" ht="15.75" thickBot="1" x14ac:dyDescent="0.3">
      <c r="B26" s="17"/>
      <c r="C26" s="18"/>
      <c r="D26" s="18"/>
      <c r="E26" s="18"/>
      <c r="F26" s="18"/>
      <c r="G26" s="18"/>
      <c r="H26" s="19"/>
    </row>
  </sheetData>
  <sheetProtection algorithmName="SHA-512" hashValue="8RVfEKhnYWfIrZgxadx6Lc2rQDLeuKO1UW4AlYqnO3coVmDLUoIAogyz2Won+/zis7CW1pAtLh7Ek1Vaki8u8w==" saltValue="vQUyMhNw20AE2MFLVmAxDA==" spinCount="100000" sheet="1" objects="1" scenarios="1"/>
  <mergeCells count="2">
    <mergeCell ref="F7:G8"/>
    <mergeCell ref="C22:G25"/>
  </mergeCells>
  <conditionalFormatting sqref="D11:D13">
    <cfRule type="containsBlanks" dxfId="29" priority="13">
      <formula>LEN(TRIM(D11))=0</formula>
    </cfRule>
  </conditionalFormatting>
  <conditionalFormatting sqref="C22">
    <cfRule type="containsBlanks" dxfId="28" priority="9">
      <formula>LEN(TRIM(C22))=0</formula>
    </cfRule>
  </conditionalFormatting>
  <conditionalFormatting sqref="D17:D18">
    <cfRule type="containsBlanks" dxfId="27" priority="5">
      <formula>LEN(TRIM(D17))=0</formula>
    </cfRule>
  </conditionalFormatting>
  <conditionalFormatting sqref="G10:G12">
    <cfRule type="containsBlanks" dxfId="26" priority="4">
      <formula>LEN(TRIM(G10))=0</formula>
    </cfRule>
  </conditionalFormatting>
  <conditionalFormatting sqref="G17:G20">
    <cfRule type="containsBlanks" dxfId="25" priority="3">
      <formula>LEN(TRIM(G17))=0</formula>
    </cfRule>
  </conditionalFormatting>
  <conditionalFormatting sqref="D7">
    <cfRule type="containsBlanks" dxfId="24" priority="1">
      <formula>LEN(TRIM(D7))=0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formula1>0</formula1>
    </dataValidation>
    <dataValidation type="date" showInputMessage="1" showErrorMessage="1" errorTitle="FECHA INVALIDA" promptTitle="Fecha de Generacion del Reporte " prompt="Diligenciar la fecha de Generacion de este Reporte de Usuarios Abogados Formato (DD/MM/AAAA)" sqref="D7">
      <formula1>44742</formula1>
      <formula2>44823</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B1:W34"/>
  <sheetViews>
    <sheetView showGridLines="0" zoomScale="70" zoomScaleNormal="70" workbookViewId="0">
      <selection activeCell="F48" sqref="F48"/>
    </sheetView>
  </sheetViews>
  <sheetFormatPr baseColWidth="10"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0</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22" t="s">
        <v>65</v>
      </c>
      <c r="D6" s="122"/>
      <c r="E6" s="122"/>
      <c r="F6" s="122"/>
      <c r="G6" s="122"/>
      <c r="H6" s="122"/>
      <c r="I6" s="33"/>
    </row>
    <row r="7" spans="2:23" x14ac:dyDescent="0.25">
      <c r="B7" s="14"/>
      <c r="C7" s="15"/>
      <c r="D7" s="27"/>
      <c r="E7" s="81" t="s">
        <v>143</v>
      </c>
      <c r="F7" s="27"/>
      <c r="G7" s="15"/>
      <c r="H7" s="15"/>
      <c r="I7" s="16"/>
      <c r="U7" s="1" t="s">
        <v>13</v>
      </c>
    </row>
    <row r="8" spans="2:23" x14ac:dyDescent="0.25">
      <c r="B8" s="14"/>
      <c r="C8" s="23" t="s">
        <v>107</v>
      </c>
      <c r="D8" s="79">
        <v>44818</v>
      </c>
      <c r="E8" s="6"/>
      <c r="F8" s="37" t="s">
        <v>102</v>
      </c>
      <c r="G8" s="91" t="s">
        <v>18</v>
      </c>
      <c r="H8" s="15"/>
      <c r="I8" s="16"/>
      <c r="U8" s="1" t="s">
        <v>14</v>
      </c>
    </row>
    <row r="9" spans="2:23" x14ac:dyDescent="0.25">
      <c r="B9" s="14"/>
      <c r="E9" s="6"/>
      <c r="F9" s="20" t="s">
        <v>167</v>
      </c>
      <c r="G9" s="78">
        <v>0</v>
      </c>
      <c r="H9" s="15"/>
      <c r="I9" s="16"/>
    </row>
    <row r="10" spans="2:23" x14ac:dyDescent="0.25">
      <c r="B10" s="14"/>
      <c r="C10" s="23" t="s">
        <v>150</v>
      </c>
      <c r="D10" s="23" t="s">
        <v>23</v>
      </c>
      <c r="E10" s="6"/>
      <c r="F10" s="20" t="s">
        <v>57</v>
      </c>
      <c r="G10" s="78">
        <v>0</v>
      </c>
      <c r="H10" s="15"/>
      <c r="I10" s="16"/>
    </row>
    <row r="11" spans="2:23" x14ac:dyDescent="0.25">
      <c r="B11" s="14"/>
      <c r="C11" s="20" t="s">
        <v>163</v>
      </c>
      <c r="D11" s="78">
        <v>11</v>
      </c>
      <c r="E11" s="6"/>
      <c r="F11" s="20" t="s">
        <v>79</v>
      </c>
      <c r="G11" s="78">
        <v>0</v>
      </c>
      <c r="H11" s="15"/>
      <c r="I11" s="16"/>
    </row>
    <row r="12" spans="2:23" x14ac:dyDescent="0.25">
      <c r="B12" s="14"/>
      <c r="C12" s="20" t="s">
        <v>28</v>
      </c>
      <c r="D12" s="78">
        <v>11</v>
      </c>
      <c r="E12" s="6"/>
      <c r="F12" s="38" t="s">
        <v>156</v>
      </c>
      <c r="I12" s="16"/>
    </row>
    <row r="13" spans="2:23" x14ac:dyDescent="0.25">
      <c r="B13" s="14"/>
      <c r="C13" s="20" t="s">
        <v>78</v>
      </c>
      <c r="D13" s="78">
        <v>0</v>
      </c>
      <c r="E13" s="6"/>
      <c r="F13" s="38" t="s">
        <v>80</v>
      </c>
      <c r="I13" s="16"/>
    </row>
    <row r="14" spans="2:23" x14ac:dyDescent="0.25">
      <c r="B14" s="14"/>
      <c r="C14" s="38" t="s">
        <v>151</v>
      </c>
      <c r="E14" s="6"/>
      <c r="F14" s="24" t="s">
        <v>32</v>
      </c>
      <c r="G14" s="23" t="s">
        <v>23</v>
      </c>
      <c r="I14" s="16"/>
    </row>
    <row r="15" spans="2:23" x14ac:dyDescent="0.25">
      <c r="B15" s="14"/>
      <c r="C15" s="23" t="s">
        <v>152</v>
      </c>
      <c r="D15" s="23" t="s">
        <v>23</v>
      </c>
      <c r="E15" s="6"/>
      <c r="F15" s="20" t="s">
        <v>168</v>
      </c>
      <c r="G15" s="78">
        <v>11</v>
      </c>
      <c r="I15" s="16"/>
    </row>
    <row r="16" spans="2:23" x14ac:dyDescent="0.25">
      <c r="B16" s="14"/>
      <c r="C16" s="20" t="s">
        <v>164</v>
      </c>
      <c r="D16" s="78">
        <v>0</v>
      </c>
      <c r="E16" s="6"/>
      <c r="F16" s="20" t="s">
        <v>169</v>
      </c>
      <c r="G16" s="78">
        <v>0</v>
      </c>
      <c r="H16" s="15"/>
      <c r="I16" s="16"/>
    </row>
    <row r="17" spans="2:9" x14ac:dyDescent="0.25">
      <c r="B17" s="14"/>
      <c r="C17" s="20" t="s">
        <v>153</v>
      </c>
      <c r="D17" s="78">
        <v>0</v>
      </c>
      <c r="E17" s="6"/>
      <c r="F17" s="20" t="s">
        <v>170</v>
      </c>
      <c r="G17" s="78">
        <v>0</v>
      </c>
      <c r="H17" s="15"/>
      <c r="I17" s="16"/>
    </row>
    <row r="18" spans="2:9" x14ac:dyDescent="0.25">
      <c r="B18" s="14"/>
      <c r="C18" s="38" t="s">
        <v>154</v>
      </c>
      <c r="E18" s="6"/>
      <c r="F18" s="20" t="s">
        <v>171</v>
      </c>
      <c r="G18" s="78">
        <v>0</v>
      </c>
      <c r="H18" s="15"/>
      <c r="I18" s="16"/>
    </row>
    <row r="19" spans="2:9" x14ac:dyDescent="0.25">
      <c r="B19" s="14"/>
      <c r="E19" s="6"/>
      <c r="H19" s="15"/>
      <c r="I19" s="16"/>
    </row>
    <row r="20" spans="2:9" ht="29.25" customHeight="1" x14ac:dyDescent="0.25">
      <c r="B20" s="14"/>
      <c r="C20" s="50" t="s">
        <v>31</v>
      </c>
      <c r="D20" s="50" t="s">
        <v>23</v>
      </c>
      <c r="E20" s="6"/>
      <c r="F20" s="39" t="s">
        <v>101</v>
      </c>
      <c r="G20" s="50" t="s">
        <v>144</v>
      </c>
      <c r="H20" s="40" t="s">
        <v>64</v>
      </c>
      <c r="I20" s="16"/>
    </row>
    <row r="21" spans="2:9" x14ac:dyDescent="0.25">
      <c r="B21" s="14"/>
      <c r="C21" s="60" t="s">
        <v>165</v>
      </c>
      <c r="D21" s="78">
        <v>13</v>
      </c>
      <c r="E21" s="6"/>
      <c r="F21" s="20" t="s">
        <v>60</v>
      </c>
      <c r="G21" s="78">
        <v>0</v>
      </c>
      <c r="H21" s="78">
        <v>0</v>
      </c>
      <c r="I21" s="16"/>
    </row>
    <row r="22" spans="2:9" ht="15" customHeight="1" x14ac:dyDescent="0.25">
      <c r="B22" s="14"/>
      <c r="C22" s="60" t="s">
        <v>166</v>
      </c>
      <c r="D22" s="78">
        <v>0</v>
      </c>
      <c r="E22" s="6"/>
      <c r="F22" s="20" t="s">
        <v>61</v>
      </c>
      <c r="G22" s="78">
        <v>10</v>
      </c>
      <c r="H22" s="78">
        <v>10</v>
      </c>
      <c r="I22" s="16"/>
    </row>
    <row r="23" spans="2:9" x14ac:dyDescent="0.25">
      <c r="B23" s="14"/>
      <c r="C23" s="66" t="s">
        <v>155</v>
      </c>
      <c r="D23" s="66"/>
      <c r="E23" s="6"/>
      <c r="F23" s="20" t="s">
        <v>62</v>
      </c>
      <c r="G23" s="78">
        <v>1</v>
      </c>
      <c r="H23" s="78">
        <v>1</v>
      </c>
      <c r="I23" s="16"/>
    </row>
    <row r="24" spans="2:9" x14ac:dyDescent="0.25">
      <c r="B24" s="14"/>
      <c r="C24" s="15"/>
      <c r="E24" s="6"/>
      <c r="F24" s="20" t="s">
        <v>63</v>
      </c>
      <c r="G24" s="78">
        <v>0</v>
      </c>
      <c r="H24" s="78">
        <v>0</v>
      </c>
      <c r="I24" s="16"/>
    </row>
    <row r="25" spans="2:9" ht="30" customHeight="1" x14ac:dyDescent="0.25">
      <c r="B25" s="14"/>
      <c r="C25" s="68" t="str">
        <f>"Seleccione "&amp;W3&amp;" procesos teminados en el  primer semestre de 2022 y llene la siguiente tabla:"</f>
        <v>Seleccione 0 procesos teminados en el  primer semestre de 2022 y llene la siguiente tabla:</v>
      </c>
      <c r="D25" s="63"/>
      <c r="E25" s="6"/>
      <c r="F25" s="123" t="s">
        <v>172</v>
      </c>
      <c r="G25" s="123"/>
      <c r="H25" s="123"/>
      <c r="I25" s="16"/>
    </row>
    <row r="26" spans="2:9" ht="15.75" thickBot="1" x14ac:dyDescent="0.3">
      <c r="B26" s="14"/>
      <c r="C26" s="64"/>
      <c r="D26" s="65"/>
      <c r="E26" s="6"/>
      <c r="F26" s="61"/>
      <c r="G26" s="15"/>
      <c r="H26" s="15"/>
      <c r="I26" s="16"/>
    </row>
    <row r="27" spans="2:9" x14ac:dyDescent="0.25">
      <c r="B27" s="14"/>
      <c r="C27" s="50" t="s">
        <v>89</v>
      </c>
      <c r="D27" s="50" t="s">
        <v>23</v>
      </c>
      <c r="E27" s="6"/>
      <c r="F27" s="118" t="s">
        <v>88</v>
      </c>
      <c r="G27" s="119"/>
      <c r="H27" s="120"/>
      <c r="I27" s="16"/>
    </row>
    <row r="28" spans="2:9" x14ac:dyDescent="0.25">
      <c r="B28" s="14"/>
      <c r="C28" s="20" t="s">
        <v>81</v>
      </c>
      <c r="D28" s="78">
        <v>0</v>
      </c>
      <c r="E28" s="6"/>
      <c r="F28" s="121" t="s">
        <v>197</v>
      </c>
      <c r="G28" s="121"/>
      <c r="H28" s="121"/>
      <c r="I28" s="16"/>
    </row>
    <row r="29" spans="2:9" x14ac:dyDescent="0.25">
      <c r="B29" s="14"/>
      <c r="C29" s="20" t="s">
        <v>82</v>
      </c>
      <c r="D29" s="78">
        <v>0</v>
      </c>
      <c r="E29" s="6"/>
      <c r="F29" s="121"/>
      <c r="G29" s="121"/>
      <c r="H29" s="121"/>
      <c r="I29" s="16"/>
    </row>
    <row r="30" spans="2:9" x14ac:dyDescent="0.25">
      <c r="B30" s="14"/>
      <c r="C30" s="20" t="s">
        <v>83</v>
      </c>
      <c r="D30" s="78">
        <v>0</v>
      </c>
      <c r="E30" s="6"/>
      <c r="F30" s="121"/>
      <c r="G30" s="121"/>
      <c r="H30" s="121"/>
      <c r="I30" s="16"/>
    </row>
    <row r="31" spans="2:9" x14ac:dyDescent="0.25">
      <c r="B31" s="14"/>
      <c r="C31" s="20" t="s">
        <v>84</v>
      </c>
      <c r="D31" s="78">
        <v>0</v>
      </c>
      <c r="E31" s="6"/>
      <c r="F31" s="121"/>
      <c r="G31" s="121"/>
      <c r="H31" s="121"/>
      <c r="I31" s="16"/>
    </row>
    <row r="32" spans="2:9" x14ac:dyDescent="0.25">
      <c r="B32" s="14"/>
      <c r="C32" s="20" t="s">
        <v>85</v>
      </c>
      <c r="D32" s="78">
        <v>0</v>
      </c>
      <c r="E32" s="6"/>
      <c r="F32" s="121"/>
      <c r="G32" s="121"/>
      <c r="H32" s="121"/>
      <c r="I32" s="16"/>
    </row>
    <row r="33" spans="2:9" x14ac:dyDescent="0.25">
      <c r="B33" s="14"/>
      <c r="C33" s="15"/>
      <c r="E33" s="6"/>
      <c r="F33" s="121"/>
      <c r="G33" s="121"/>
      <c r="H33" s="121"/>
      <c r="I33" s="16"/>
    </row>
    <row r="34" spans="2:9" ht="15.75" thickBot="1" x14ac:dyDescent="0.3">
      <c r="B34" s="17"/>
      <c r="C34" s="18"/>
      <c r="D34" s="18"/>
      <c r="E34" s="18"/>
      <c r="F34" s="18"/>
      <c r="G34" s="18"/>
      <c r="H34" s="18"/>
      <c r="I34" s="19"/>
    </row>
  </sheetData>
  <sheetProtection algorithmName="SHA-512" hashValue="B9V84//xA42RdCAYWxnnmge3JebK6lrTBnVqgqUZdoaV3dQ6rZl/I6IC2ReFAYckWa0swdX3mj/vDzzbeCdsaQ==" saltValue="dyWH2baFBv95gWeLj1vbeg==" spinCount="100000" sheet="1" objects="1" scenarios="1"/>
  <mergeCells count="4">
    <mergeCell ref="F27:H27"/>
    <mergeCell ref="F28:H33"/>
    <mergeCell ref="C6:H6"/>
    <mergeCell ref="F25:H25"/>
  </mergeCells>
  <conditionalFormatting sqref="D8">
    <cfRule type="containsBlanks" dxfId="23" priority="11">
      <formula>LEN(TRIM(D8))=0</formula>
    </cfRule>
  </conditionalFormatting>
  <conditionalFormatting sqref="D11">
    <cfRule type="containsBlanks" dxfId="22" priority="10">
      <formula>LEN(TRIM(D11))=0</formula>
    </cfRule>
  </conditionalFormatting>
  <conditionalFormatting sqref="D12:D13">
    <cfRule type="containsBlanks" dxfId="21" priority="9">
      <formula>LEN(TRIM(D12))=0</formula>
    </cfRule>
  </conditionalFormatting>
  <conditionalFormatting sqref="D16:D17">
    <cfRule type="containsBlanks" dxfId="20" priority="8">
      <formula>LEN(TRIM(D16))=0</formula>
    </cfRule>
  </conditionalFormatting>
  <conditionalFormatting sqref="D21:D22">
    <cfRule type="containsBlanks" dxfId="19" priority="7">
      <formula>LEN(TRIM(D21))=0</formula>
    </cfRule>
  </conditionalFormatting>
  <conditionalFormatting sqref="D28:D32">
    <cfRule type="containsBlanks" dxfId="18" priority="6">
      <formula>LEN(TRIM(D28))=0</formula>
    </cfRule>
  </conditionalFormatting>
  <conditionalFormatting sqref="G9">
    <cfRule type="containsBlanks" dxfId="17" priority="5">
      <formula>LEN(TRIM(G9))=0</formula>
    </cfRule>
  </conditionalFormatting>
  <conditionalFormatting sqref="G10:G11">
    <cfRule type="containsBlanks" dxfId="16" priority="4">
      <formula>LEN(TRIM(G10))=0</formula>
    </cfRule>
  </conditionalFormatting>
  <conditionalFormatting sqref="G15:G18">
    <cfRule type="containsBlanks" dxfId="15" priority="3">
      <formula>LEN(TRIM(G15))=0</formula>
    </cfRule>
  </conditionalFormatting>
  <conditionalFormatting sqref="G21:H24">
    <cfRule type="containsBlanks" dxfId="14" priority="2">
      <formula>LEN(TRIM(G21))=0</formula>
    </cfRule>
  </conditionalFormatting>
  <conditionalFormatting sqref="F28">
    <cfRule type="containsBlanks" dxfId="13" priority="1">
      <formula>LEN(TRIM(F28))=0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formula1>44742</formula1>
      <formula2>44823</formula2>
    </dataValidation>
    <dataValidation type="whole" operator="greaterThanOrEqual" showInputMessage="1" showErrorMessage="1" errorTitle="Numero Invalido" promptTitle="Ingrese la cantidad Solicitada" prompt="Ingrese la cantidad Solicitada" sqref="D11:D13 D16:D17 D21:D22 D28:D32 G9:G11 G15:G18 G21:H24">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V23"/>
  <sheetViews>
    <sheetView showGridLines="0" workbookViewId="0">
      <selection activeCell="F17" sqref="F17:G22"/>
    </sheetView>
  </sheetViews>
  <sheetFormatPr baseColWidth="10" defaultRowHeight="15" x14ac:dyDescent="0.25"/>
  <cols>
    <col min="1" max="1" width="3.85546875" style="1" customWidth="1"/>
    <col min="2" max="2" width="11.42578125" style="1"/>
    <col min="3" max="3" width="57.855468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0</v>
      </c>
    </row>
    <row r="3" spans="2:22" x14ac:dyDescent="0.25">
      <c r="B3" s="14"/>
      <c r="C3" s="15"/>
      <c r="D3" s="15"/>
      <c r="E3" s="15"/>
      <c r="F3" s="15"/>
      <c r="G3" s="15"/>
      <c r="H3" s="16"/>
      <c r="V3" s="28">
        <f>+IF(V2&lt;=20,V2,IF(ROUNDDOWN(V2*10%,0)&lt;20,20,ROUNDDOWN(V2*10%,0)))</f>
        <v>0</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22" t="s">
        <v>146</v>
      </c>
      <c r="D7" s="122"/>
      <c r="E7" s="122"/>
      <c r="F7" s="122"/>
      <c r="G7" s="122"/>
      <c r="H7" s="33"/>
    </row>
    <row r="8" spans="2:22" x14ac:dyDescent="0.25">
      <c r="B8" s="14"/>
      <c r="C8" s="15"/>
      <c r="D8" s="15"/>
      <c r="E8" s="89" t="s">
        <v>143</v>
      </c>
      <c r="H8" s="16"/>
      <c r="T8" s="1" t="s">
        <v>13</v>
      </c>
    </row>
    <row r="9" spans="2:22" ht="15" customHeight="1" x14ac:dyDescent="0.25">
      <c r="B9" s="14"/>
      <c r="C9" s="23" t="s">
        <v>157</v>
      </c>
      <c r="D9" s="23" t="s">
        <v>23</v>
      </c>
      <c r="E9" s="6"/>
      <c r="F9" s="105" t="str">
        <f>"Seleccione una muestra de "&amp;V3&amp;" prejudiciales activos registrados antes de 1 de enero de 2022 y complete la siguiente tabla"</f>
        <v>Seleccione una muestra de 0 prejudiciales activos registrados antes de 1 de enero de 2022 y complete la siguiente tabla</v>
      </c>
      <c r="G9" s="106"/>
      <c r="H9" s="16"/>
      <c r="T9" s="1" t="s">
        <v>14</v>
      </c>
    </row>
    <row r="10" spans="2:22" x14ac:dyDescent="0.25">
      <c r="B10" s="14"/>
      <c r="C10" s="20" t="s">
        <v>173</v>
      </c>
      <c r="D10" s="78">
        <v>0</v>
      </c>
      <c r="E10" s="6"/>
      <c r="F10" s="107"/>
      <c r="G10" s="108"/>
      <c r="H10" s="16"/>
    </row>
    <row r="11" spans="2:22" x14ac:dyDescent="0.25">
      <c r="B11" s="14"/>
      <c r="C11" s="20" t="s">
        <v>52</v>
      </c>
      <c r="D11" s="78">
        <v>0</v>
      </c>
      <c r="E11" s="6"/>
      <c r="F11" s="24" t="s">
        <v>31</v>
      </c>
      <c r="G11" s="24" t="s">
        <v>54</v>
      </c>
      <c r="H11" s="16"/>
    </row>
    <row r="12" spans="2:22" x14ac:dyDescent="0.25">
      <c r="B12" s="14"/>
      <c r="C12" s="20" t="s">
        <v>158</v>
      </c>
      <c r="D12" s="78">
        <v>0</v>
      </c>
      <c r="E12" s="6"/>
      <c r="F12" s="36" t="s">
        <v>55</v>
      </c>
      <c r="G12" s="78">
        <v>0</v>
      </c>
      <c r="H12" s="16"/>
    </row>
    <row r="13" spans="2:22" x14ac:dyDescent="0.25">
      <c r="B13" s="14"/>
      <c r="C13" s="20" t="s">
        <v>160</v>
      </c>
      <c r="D13" s="78">
        <v>0</v>
      </c>
      <c r="E13" s="6"/>
      <c r="F13" s="20" t="s">
        <v>147</v>
      </c>
      <c r="G13" s="78">
        <v>0</v>
      </c>
      <c r="H13" s="16"/>
    </row>
    <row r="14" spans="2:22" x14ac:dyDescent="0.25">
      <c r="B14" s="14"/>
      <c r="C14" s="20" t="s">
        <v>159</v>
      </c>
      <c r="D14" s="78">
        <v>0</v>
      </c>
      <c r="E14" s="6"/>
      <c r="F14"/>
      <c r="G14"/>
      <c r="H14" s="16"/>
    </row>
    <row r="15" spans="2:22" x14ac:dyDescent="0.25">
      <c r="B15" s="14"/>
      <c r="E15" s="6"/>
      <c r="F15"/>
      <c r="G15"/>
      <c r="H15" s="16"/>
    </row>
    <row r="16" spans="2:22" x14ac:dyDescent="0.25">
      <c r="B16" s="14"/>
      <c r="C16" s="23" t="s">
        <v>188</v>
      </c>
      <c r="D16" s="23" t="s">
        <v>23</v>
      </c>
      <c r="E16" s="6"/>
      <c r="F16" s="124" t="s">
        <v>88</v>
      </c>
      <c r="G16" s="124"/>
      <c r="H16" s="16"/>
    </row>
    <row r="17" spans="2:8" x14ac:dyDescent="0.25">
      <c r="B17" s="14"/>
      <c r="C17" s="20" t="s">
        <v>178</v>
      </c>
      <c r="D17" s="78">
        <v>0</v>
      </c>
      <c r="E17" s="6"/>
      <c r="F17" s="121" t="s">
        <v>198</v>
      </c>
      <c r="G17" s="121"/>
      <c r="H17" s="16"/>
    </row>
    <row r="18" spans="2:8" x14ac:dyDescent="0.25">
      <c r="B18" s="14"/>
      <c r="C18" s="20" t="s">
        <v>186</v>
      </c>
      <c r="D18" s="78">
        <v>0</v>
      </c>
      <c r="E18" s="6"/>
      <c r="F18" s="121"/>
      <c r="G18" s="121"/>
      <c r="H18" s="16"/>
    </row>
    <row r="19" spans="2:8" x14ac:dyDescent="0.25">
      <c r="B19" s="14"/>
      <c r="C19"/>
      <c r="D19"/>
      <c r="E19" s="6"/>
      <c r="F19" s="121"/>
      <c r="G19" s="121"/>
      <c r="H19" s="16"/>
    </row>
    <row r="20" spans="2:8" x14ac:dyDescent="0.25">
      <c r="B20" s="14"/>
      <c r="C20"/>
      <c r="D20"/>
      <c r="E20" s="6"/>
      <c r="F20" s="121"/>
      <c r="G20" s="121"/>
      <c r="H20" s="16"/>
    </row>
    <row r="21" spans="2:8" x14ac:dyDescent="0.25">
      <c r="B21" s="14"/>
      <c r="E21" s="6"/>
      <c r="F21" s="121"/>
      <c r="G21" s="121"/>
      <c r="H21" s="16"/>
    </row>
    <row r="22" spans="2:8" x14ac:dyDescent="0.25">
      <c r="B22" s="14"/>
      <c r="C22" s="15"/>
      <c r="D22" s="15"/>
      <c r="E22" s="6"/>
      <c r="F22" s="121"/>
      <c r="G22" s="121"/>
      <c r="H22" s="16"/>
    </row>
    <row r="23" spans="2:8" ht="15.75" thickBot="1" x14ac:dyDescent="0.3">
      <c r="B23" s="17"/>
      <c r="C23" s="18"/>
      <c r="D23" s="18"/>
      <c r="E23" s="18"/>
      <c r="F23" s="18"/>
      <c r="G23" s="18"/>
      <c r="H23" s="19"/>
    </row>
  </sheetData>
  <sheetProtection algorithmName="SHA-512" hashValue="svhajHmZp9AW3z0s3psyvbzJM7AG57NBZ3aSvG/MK/u+6T2QMDmKr+b/gZnu0nJ5FMgkhc8sZSNof1p69Z0VLA==" saltValue="VE+jH07BMJ4HdVIsUGdhqQ==" spinCount="100000" sheet="1" objects="1" scenarios="1"/>
  <mergeCells count="4">
    <mergeCell ref="F9:G10"/>
    <mergeCell ref="C7:G7"/>
    <mergeCell ref="F16:G16"/>
    <mergeCell ref="F17:G22"/>
  </mergeCells>
  <conditionalFormatting sqref="D10:D14">
    <cfRule type="containsBlanks" dxfId="12" priority="4">
      <formula>LEN(TRIM(D10))=0</formula>
    </cfRule>
  </conditionalFormatting>
  <conditionalFormatting sqref="D17:D18">
    <cfRule type="containsBlanks" dxfId="11" priority="3">
      <formula>LEN(TRIM(D17))=0</formula>
    </cfRule>
  </conditionalFormatting>
  <conditionalFormatting sqref="G12:G13">
    <cfRule type="containsBlanks" dxfId="10" priority="2">
      <formula>LEN(TRIM(G12))=0</formula>
    </cfRule>
  </conditionalFormatting>
  <conditionalFormatting sqref="F17">
    <cfRule type="containsBlanks" dxfId="9" priority="1">
      <formula>LEN(TRIM(F17))=0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V17"/>
  <sheetViews>
    <sheetView showGridLines="0" workbookViewId="0">
      <selection activeCell="C19" sqref="C19"/>
    </sheetView>
  </sheetViews>
  <sheetFormatPr baseColWidth="10"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67</v>
      </c>
      <c r="D6" s="35"/>
      <c r="E6" s="26"/>
      <c r="F6"/>
      <c r="G6"/>
      <c r="H6" s="33"/>
    </row>
    <row r="7" spans="2:22" x14ac:dyDescent="0.25">
      <c r="B7" s="14"/>
      <c r="C7" s="15" t="s">
        <v>143</v>
      </c>
      <c r="D7" s="15"/>
      <c r="E7" s="15"/>
      <c r="F7"/>
      <c r="G7"/>
      <c r="H7" s="16"/>
      <c r="T7" s="1" t="s">
        <v>13</v>
      </c>
    </row>
    <row r="8" spans="2:22" x14ac:dyDescent="0.25">
      <c r="B8" s="14"/>
      <c r="C8" s="23" t="s">
        <v>67</v>
      </c>
      <c r="D8" s="23" t="s">
        <v>23</v>
      </c>
      <c r="E8" s="6"/>
      <c r="F8" s="23" t="s">
        <v>67</v>
      </c>
      <c r="G8" s="23" t="s">
        <v>23</v>
      </c>
      <c r="H8" s="16"/>
      <c r="T8" s="1" t="s">
        <v>14</v>
      </c>
    </row>
    <row r="9" spans="2:22" x14ac:dyDescent="0.25">
      <c r="B9" s="14"/>
      <c r="C9" s="20" t="s">
        <v>174</v>
      </c>
      <c r="D9" s="78">
        <v>0</v>
      </c>
      <c r="E9" s="6"/>
      <c r="F9" s="20" t="s">
        <v>175</v>
      </c>
      <c r="G9" s="78">
        <v>0</v>
      </c>
      <c r="H9" s="16"/>
    </row>
    <row r="10" spans="2:22" x14ac:dyDescent="0.25">
      <c r="B10" s="14"/>
      <c r="C10" s="20" t="s">
        <v>179</v>
      </c>
      <c r="D10" s="78">
        <v>0</v>
      </c>
      <c r="E10" s="6"/>
      <c r="F10" s="20" t="s">
        <v>86</v>
      </c>
      <c r="G10" s="78">
        <v>0</v>
      </c>
      <c r="H10" s="16"/>
    </row>
    <row r="11" spans="2:22" x14ac:dyDescent="0.25">
      <c r="B11" s="14"/>
      <c r="C11" s="15"/>
      <c r="D11" s="55"/>
      <c r="E11" s="6"/>
      <c r="F11" s="15"/>
      <c r="G11" s="56"/>
      <c r="H11" s="16"/>
    </row>
    <row r="12" spans="2:22" x14ac:dyDescent="0.25">
      <c r="B12" s="14"/>
      <c r="C12" s="57" t="s">
        <v>90</v>
      </c>
      <c r="D12" s="55"/>
      <c r="E12" s="6"/>
      <c r="F12" s="15"/>
      <c r="G12" s="56"/>
      <c r="H12" s="16"/>
      <c r="T12" s="1">
        <f>IF(D9="",0,1)</f>
        <v>1</v>
      </c>
    </row>
    <row r="13" spans="2:22" x14ac:dyDescent="0.25">
      <c r="B13" s="14"/>
      <c r="C13" s="125" t="s">
        <v>199</v>
      </c>
      <c r="D13" s="110"/>
      <c r="E13" s="110"/>
      <c r="F13" s="110"/>
      <c r="G13" s="111"/>
      <c r="H13" s="16"/>
    </row>
    <row r="14" spans="2:22" x14ac:dyDescent="0.25">
      <c r="B14" s="14"/>
      <c r="C14" s="112"/>
      <c r="D14" s="113"/>
      <c r="E14" s="113"/>
      <c r="F14" s="113"/>
      <c r="G14" s="114"/>
      <c r="H14" s="16"/>
    </row>
    <row r="15" spans="2:22" x14ac:dyDescent="0.25">
      <c r="B15" s="14"/>
      <c r="C15" s="112"/>
      <c r="D15" s="113"/>
      <c r="E15" s="113"/>
      <c r="F15" s="113"/>
      <c r="G15" s="114"/>
      <c r="H15" s="16"/>
    </row>
    <row r="16" spans="2:22" x14ac:dyDescent="0.25">
      <c r="B16" s="14"/>
      <c r="C16" s="115"/>
      <c r="D16" s="116"/>
      <c r="E16" s="116"/>
      <c r="F16" s="116"/>
      <c r="G16" s="117"/>
      <c r="H16" s="16"/>
      <c r="T16" s="1">
        <f>IF(G9="",0,1)</f>
        <v>1</v>
      </c>
    </row>
    <row r="17" spans="2:20" ht="15.75" thickBot="1" x14ac:dyDescent="0.3">
      <c r="B17" s="17"/>
      <c r="C17" s="18"/>
      <c r="D17" s="18"/>
      <c r="E17" s="18"/>
      <c r="F17" s="18"/>
      <c r="G17" s="18"/>
      <c r="H17" s="19"/>
      <c r="T17" s="1">
        <f>+T12+T16</f>
        <v>2</v>
      </c>
    </row>
  </sheetData>
  <sheetProtection algorithmName="SHA-512" hashValue="+FCFzMTUyQz9xCbsVZjWh6VfuEuNyvSas18p2Zc+tciO//oKW2KvySRCIuGHsJUxL58937RSbcNcAVq208JAUg==" saltValue="SyOhJUcB2fukD14ffgbYiQ==" spinCount="100000" sheet="1"/>
  <mergeCells count="1">
    <mergeCell ref="C13:G16"/>
  </mergeCells>
  <conditionalFormatting sqref="C13">
    <cfRule type="containsBlanks" dxfId="8" priority="3">
      <formula>LEN(TRIM(C13))=0</formula>
    </cfRule>
  </conditionalFormatting>
  <conditionalFormatting sqref="D9:D10">
    <cfRule type="containsBlanks" dxfId="7" priority="2">
      <formula>LEN(TRIM(D9))=0</formula>
    </cfRule>
  </conditionalFormatting>
  <conditionalFormatting sqref="G9:G10">
    <cfRule type="containsBlanks" dxfId="6"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V11"/>
  <sheetViews>
    <sheetView showGridLines="0" workbookViewId="0">
      <selection activeCell="L21" sqref="L21"/>
    </sheetView>
  </sheetViews>
  <sheetFormatPr baseColWidth="10"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t="e">
        <f>+IF(D10&lt;=10,D10,IF(ROUNDDOWN(D10*10%,0)&gt;10,10,ROUNDDOWN(D10*10%,0)))</f>
        <v>#VALUE!</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22" t="s">
        <v>8</v>
      </c>
      <c r="D6" s="122"/>
      <c r="E6" s="26"/>
      <c r="F6"/>
      <c r="G6"/>
      <c r="H6" s="33"/>
      <c r="T6" s="1" t="s">
        <v>12</v>
      </c>
    </row>
    <row r="7" spans="2:22" x14ac:dyDescent="0.25">
      <c r="B7" s="14"/>
      <c r="C7" s="15" t="s">
        <v>143</v>
      </c>
      <c r="D7" s="15"/>
      <c r="E7" s="15"/>
      <c r="F7" s="58" t="s">
        <v>90</v>
      </c>
      <c r="G7"/>
      <c r="H7" s="16"/>
      <c r="T7" s="1" t="s">
        <v>13</v>
      </c>
    </row>
    <row r="8" spans="2:22" x14ac:dyDescent="0.25">
      <c r="B8" s="14"/>
      <c r="C8" s="23" t="s">
        <v>30</v>
      </c>
      <c r="D8" s="23" t="s">
        <v>23</v>
      </c>
      <c r="E8" s="6"/>
      <c r="F8" s="125" t="s">
        <v>200</v>
      </c>
      <c r="G8" s="111"/>
      <c r="H8" s="16"/>
      <c r="T8" s="1" t="s">
        <v>14</v>
      </c>
    </row>
    <row r="9" spans="2:22" x14ac:dyDescent="0.25">
      <c r="B9" s="14"/>
      <c r="C9" s="20" t="s">
        <v>71</v>
      </c>
      <c r="D9" s="78" t="s">
        <v>12</v>
      </c>
      <c r="E9" s="6"/>
      <c r="F9" s="112"/>
      <c r="G9" s="114"/>
      <c r="H9" s="16"/>
    </row>
    <row r="10" spans="2:22" x14ac:dyDescent="0.25">
      <c r="B10" s="14"/>
      <c r="C10" s="20" t="s">
        <v>187</v>
      </c>
      <c r="D10" s="78" t="s">
        <v>13</v>
      </c>
      <c r="E10" s="6"/>
      <c r="F10" s="115"/>
      <c r="G10" s="117"/>
      <c r="H10" s="16"/>
    </row>
    <row r="11" spans="2:22" ht="15.75" thickBot="1" x14ac:dyDescent="0.3">
      <c r="B11" s="17"/>
      <c r="C11" s="18"/>
      <c r="D11" s="18"/>
      <c r="E11" s="18"/>
      <c r="F11" s="18"/>
      <c r="G11" s="18"/>
      <c r="H11" s="19"/>
    </row>
  </sheetData>
  <sheetProtection algorithmName="SHA-512" hashValue="5qujBfQQ7RZMhSfW3LqfxXxVuPd8KbOJQKh15P8GKG8cOXsJPu3apxq/6MgUYGlAEizpvLIU3x8ux0MZK7Zg3A==" saltValue="jV6bSp1iEYBcnSzTRXO6Og==" spinCount="100000" sheet="1" objects="1" scenarios="1"/>
  <mergeCells count="2">
    <mergeCell ref="C6:D6"/>
    <mergeCell ref="F8:G10"/>
  </mergeCells>
  <conditionalFormatting sqref="D9">
    <cfRule type="containsBlanks" dxfId="5" priority="3">
      <formula>LEN(TRIM(D9))=0</formula>
    </cfRule>
  </conditionalFormatting>
  <conditionalFormatting sqref="F8">
    <cfRule type="containsBlanks" dxfId="4" priority="2">
      <formula>LEN(TRIM(F8))=0</formula>
    </cfRule>
  </conditionalFormatting>
  <conditionalFormatting sqref="D10">
    <cfRule type="containsBlanks" dxfId="3" priority="1">
      <formula>LEN(TRIM(D10))=0</formula>
    </cfRule>
  </conditionalFormatting>
  <dataValidations xWindow="514" yWindow="409" count="2">
    <dataValidation type="list" showInputMessage="1" showErrorMessage="1" promptTitle="Gestiona o No Pagos" prompt="Indique si su entidad Gestiona o No pagos o reliza Informes a traves de SIIF" sqref="D9">
      <formula1>$T$6:$T$7</formula1>
    </dataValidation>
    <dataValidation type="list" showInputMessage="1" showErrorMessage="1" promptTitle="Uso del Modulo de Pagos" prompt="Indique si su entidad Gestiona o No pagos o reliza Informes a traves de SIIF" sqref="D10">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2:M28"/>
  <sheetViews>
    <sheetView showGridLines="0" tabSelected="1" topLeftCell="A13" zoomScale="85" zoomScaleNormal="85" workbookViewId="0">
      <selection activeCell="J18" sqref="J18"/>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32" t="s">
        <v>10</v>
      </c>
      <c r="C2" s="132"/>
      <c r="D2" s="132"/>
      <c r="E2" s="132"/>
      <c r="F2" s="132"/>
      <c r="G2" s="132"/>
      <c r="H2" s="46"/>
      <c r="I2" s="46"/>
      <c r="J2" s="46"/>
      <c r="K2" s="46"/>
      <c r="L2" s="46"/>
      <c r="M2" s="47"/>
    </row>
    <row r="3" spans="2:13" ht="18.75" x14ac:dyDescent="0.3">
      <c r="B3" s="132" t="s">
        <v>11</v>
      </c>
      <c r="C3" s="132"/>
      <c r="D3" s="132"/>
      <c r="E3" s="132"/>
      <c r="F3" s="132"/>
      <c r="G3" s="132"/>
      <c r="H3" s="46"/>
      <c r="I3" s="46"/>
      <c r="J3" s="46"/>
      <c r="K3" s="46"/>
      <c r="L3" s="46"/>
      <c r="M3" s="47"/>
    </row>
    <row r="4" spans="2:13" ht="24" thickBot="1" x14ac:dyDescent="0.4">
      <c r="B4" s="41"/>
      <c r="C4" s="90"/>
      <c r="D4" s="90" t="s">
        <v>177</v>
      </c>
      <c r="E4" s="41"/>
      <c r="F4" s="41"/>
      <c r="G4" s="41"/>
      <c r="H4" s="41"/>
      <c r="I4" s="41"/>
      <c r="J4" s="41"/>
      <c r="K4" s="41"/>
      <c r="L4" s="41"/>
      <c r="M4" s="41"/>
    </row>
    <row r="5" spans="2:13" ht="15.75" thickBot="1" x14ac:dyDescent="0.3">
      <c r="B5" t="s">
        <v>182</v>
      </c>
      <c r="C5" s="126" t="s">
        <v>195</v>
      </c>
      <c r="D5" s="127"/>
      <c r="E5" s="127"/>
      <c r="F5" s="127"/>
      <c r="G5" s="128"/>
      <c r="H5" s="6"/>
      <c r="I5" s="6"/>
      <c r="J5" s="6"/>
    </row>
    <row r="6" spans="2:13" ht="15.75" thickBot="1" x14ac:dyDescent="0.3">
      <c r="B6" t="s">
        <v>183</v>
      </c>
      <c r="C6" s="129" t="s">
        <v>196</v>
      </c>
      <c r="D6" s="130"/>
      <c r="E6" s="130"/>
      <c r="F6" s="130"/>
      <c r="G6" s="131"/>
      <c r="H6" s="45"/>
      <c r="I6" s="45"/>
      <c r="J6" s="45"/>
    </row>
    <row r="7" spans="2:13" x14ac:dyDescent="0.25">
      <c r="H7" s="6"/>
      <c r="I7" s="6"/>
      <c r="J7" s="6"/>
    </row>
    <row r="8" spans="2:13" x14ac:dyDescent="0.25">
      <c r="B8" t="s">
        <v>37</v>
      </c>
      <c r="C8" s="44" t="str">
        <f>+IF(SUM(USUARIOS!I12:J17)=0,"Falta diligenciar","")</f>
        <v/>
      </c>
      <c r="E8" t="s">
        <v>74</v>
      </c>
      <c r="F8" s="44" t="str">
        <f>+IF(PREJUDICIALES!$D$10="","Falta  actualizar","")</f>
        <v/>
      </c>
    </row>
    <row r="9" spans="2:13" x14ac:dyDescent="0.25">
      <c r="B9" s="43" t="s">
        <v>40</v>
      </c>
      <c r="C9" s="88">
        <f>+SUM(USUARIOS!I12:I17)/(6-SUM(USUARIOS!H12:H17))</f>
        <v>0.83333333333333337</v>
      </c>
      <c r="E9" s="43" t="s">
        <v>45</v>
      </c>
      <c r="F9" s="87">
        <f>+PREJUDICIALES!$D$11</f>
        <v>0</v>
      </c>
    </row>
    <row r="10" spans="2:13" x14ac:dyDescent="0.25">
      <c r="B10" s="43" t="s">
        <v>38</v>
      </c>
      <c r="C10" s="87">
        <f>+ABOGADOS!$D$12+SUM(USUARIOS!I12:I17)</f>
        <v>9</v>
      </c>
      <c r="E10" s="43" t="s">
        <v>43</v>
      </c>
      <c r="F10" s="88" t="str">
        <f>IFERROR(PREJUDICIALES!$D$11/PREJUDICIALES!$D$10,"")</f>
        <v/>
      </c>
    </row>
    <row r="11" spans="2:13" x14ac:dyDescent="0.25">
      <c r="B11" s="43" t="s">
        <v>9</v>
      </c>
      <c r="C11" s="87" t="s">
        <v>104</v>
      </c>
      <c r="E11" s="43" t="s">
        <v>46</v>
      </c>
      <c r="F11" s="88" t="str">
        <f>IFERROR(PREJUDICIALES!$G$13/PREJUDICIALES!$V$3,"")</f>
        <v/>
      </c>
    </row>
    <row r="12" spans="2:13" x14ac:dyDescent="0.25">
      <c r="B12" s="43" t="s">
        <v>39</v>
      </c>
      <c r="C12" s="88">
        <f>IFERROR((ABOGADOS!$G$17+ABOGADOS!$G$18+ABOGADOS!$G$19*0.5)/ABOGADOS!D12,"")</f>
        <v>0.75</v>
      </c>
    </row>
    <row r="13" spans="2:13" x14ac:dyDescent="0.25">
      <c r="E13" t="s">
        <v>67</v>
      </c>
      <c r="F13" s="44" t="str">
        <f>+IF(ARBITRAMENTOS!T17=0,"Falta  actualizar","")</f>
        <v/>
      </c>
    </row>
    <row r="14" spans="2:13" x14ac:dyDescent="0.25">
      <c r="B14" t="s">
        <v>73</v>
      </c>
      <c r="C14" s="44" t="str">
        <f>+IF(JUDICIALES!$D$11="","Falta  actualizar","")</f>
        <v/>
      </c>
      <c r="E14" s="43" t="s">
        <v>44</v>
      </c>
      <c r="F14" s="87">
        <f>+ARBITRAMENTOS!D10</f>
        <v>0</v>
      </c>
    </row>
    <row r="15" spans="2:13" x14ac:dyDescent="0.25">
      <c r="B15" s="43" t="s">
        <v>41</v>
      </c>
      <c r="C15" s="87">
        <f>+JUDICIALES!$D$12</f>
        <v>11</v>
      </c>
      <c r="E15" s="43" t="s">
        <v>43</v>
      </c>
      <c r="F15" s="88" t="str">
        <f>IFERROR(ARBITRAMENTOS!D10/ARBITRAMENTOS!D9,"")</f>
        <v/>
      </c>
    </row>
    <row r="16" spans="2:13" x14ac:dyDescent="0.25">
      <c r="B16" s="43" t="s">
        <v>43</v>
      </c>
      <c r="C16" s="88">
        <f>IFERROR(JUDICIALES!$D$12/JUDICIALES!$D$11,"")</f>
        <v>1</v>
      </c>
    </row>
    <row r="17" spans="2:6" x14ac:dyDescent="0.25">
      <c r="B17" s="43" t="s">
        <v>47</v>
      </c>
      <c r="C17" s="88" t="str">
        <f>IFERROR(JUDICIALES!$G$11/JUDICIALES!$G$10,"")</f>
        <v/>
      </c>
      <c r="E17" t="s">
        <v>70</v>
      </c>
      <c r="F17" s="44" t="str">
        <f>+IF(PAGOS!D9="","Falta  actualizar","")</f>
        <v/>
      </c>
    </row>
    <row r="18" spans="2:6" x14ac:dyDescent="0.25">
      <c r="B18" s="43" t="s">
        <v>42</v>
      </c>
      <c r="C18" s="87">
        <f>IFERROR(C15/ABOGADOS!$D$12,"")</f>
        <v>2.75</v>
      </c>
      <c r="E18" s="43" t="s">
        <v>185</v>
      </c>
      <c r="F18" s="87" t="str">
        <f>+IF(PAGOS!D10="No","No","Si")</f>
        <v>No</v>
      </c>
    </row>
    <row r="19" spans="2:6" x14ac:dyDescent="0.25">
      <c r="B19" s="43" t="s">
        <v>72</v>
      </c>
      <c r="C19" s="88">
        <f>IFERROR(1-(JUDICIALES!$H$22+JUDICIALES!$H$23+JUDICIALES!$H$24)/(JUDICIALES!$G$22+JUDICIALES!$G$23+JUDICIALES!$G$24),"")</f>
        <v>0</v>
      </c>
      <c r="E19" s="43" t="s">
        <v>181</v>
      </c>
      <c r="F19" s="87" t="str">
        <f>+IF(PAGOS!D9="No","No aplica","Si")</f>
        <v>Si</v>
      </c>
    </row>
    <row r="21" spans="2:6" ht="15.75" thickBot="1" x14ac:dyDescent="0.3"/>
    <row r="22" spans="2:6" x14ac:dyDescent="0.25">
      <c r="B22" s="2" t="s">
        <v>90</v>
      </c>
      <c r="C22" s="3"/>
      <c r="D22" s="3"/>
      <c r="E22" s="3"/>
      <c r="F22" s="4"/>
    </row>
    <row r="23" spans="2:6" x14ac:dyDescent="0.25">
      <c r="B23" s="125"/>
      <c r="C23" s="110"/>
      <c r="D23" s="110"/>
      <c r="E23" s="110"/>
      <c r="F23" s="111"/>
    </row>
    <row r="24" spans="2:6" x14ac:dyDescent="0.25">
      <c r="B24" s="112"/>
      <c r="C24" s="113"/>
      <c r="D24" s="113"/>
      <c r="E24" s="113"/>
      <c r="F24" s="114"/>
    </row>
    <row r="25" spans="2:6" x14ac:dyDescent="0.25">
      <c r="B25" s="112"/>
      <c r="C25" s="113"/>
      <c r="D25" s="113"/>
      <c r="E25" s="113"/>
      <c r="F25" s="114"/>
    </row>
    <row r="26" spans="2:6" x14ac:dyDescent="0.25">
      <c r="B26" s="115"/>
      <c r="C26" s="116"/>
      <c r="D26" s="116"/>
      <c r="E26" s="116"/>
      <c r="F26" s="117"/>
    </row>
    <row r="27" spans="2:6" x14ac:dyDescent="0.25">
      <c r="B27" t="s">
        <v>176</v>
      </c>
    </row>
    <row r="28" spans="2:6" x14ac:dyDescent="0.25">
      <c r="B28" t="s">
        <v>184</v>
      </c>
    </row>
  </sheetData>
  <sheetProtection algorithmName="SHA-512" hashValue="MI9IAg9m6njNGmuBCGKgMta3QjAcMvvvmQcsk91qXfKK89k6AsSUy+qvJRfgCqbJjnNMaffzwJpEaNlzAWfS9g==" saltValue="KYBE4UEMNlJg3uLSyGLznw==" spinCount="100000" sheet="1" objects="1" scenarios="1"/>
  <mergeCells count="5">
    <mergeCell ref="C5:G5"/>
    <mergeCell ref="C6:G6"/>
    <mergeCell ref="B2:G2"/>
    <mergeCell ref="B3:G3"/>
    <mergeCell ref="B23:F26"/>
  </mergeCells>
  <conditionalFormatting sqref="B23">
    <cfRule type="containsBlanks" dxfId="2" priority="3">
      <formula>LEN(TRIM(B23))=0</formula>
    </cfRule>
  </conditionalFormatting>
  <conditionalFormatting sqref="C5">
    <cfRule type="containsBlanks" dxfId="1" priority="2">
      <formula>LEN(TRIM(C5))=0</formula>
    </cfRule>
  </conditionalFormatting>
  <conditionalFormatting sqref="C6">
    <cfRule type="containsBlanks" dxfId="0" priority="1">
      <formula>LEN(TRIM(C6))=0</formula>
    </cfRule>
  </conditionalFormatting>
  <dataValidations count="2">
    <dataValidation allowBlank="1" showInputMessage="1" showErrorMessage="1" promptTitle="Nombres y Apellidos" prompt="Diligencie los nombres y apellidos del jefe de control interno que esta reportando" sqref="C6:G6"/>
    <dataValidation allowBlank="1" showInputMessage="1" showErrorMessage="1" promptTitle="Nombre entidad que reporta" prompt="Diligenciar Nombre de entidad" sqref="C5:G5"/>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BO18"/>
  <sheetViews>
    <sheetView zoomScaleNormal="100" workbookViewId="0">
      <selection activeCell="A3" sqref="A3"/>
    </sheetView>
  </sheetViews>
  <sheetFormatPr baseColWidth="10" defaultColWidth="10.7109375" defaultRowHeight="15" x14ac:dyDescent="0.25"/>
  <cols>
    <col min="1" max="1" width="34.5703125" style="69" customWidth="1"/>
    <col min="2" max="2" width="29.5703125" style="69" customWidth="1"/>
    <col min="3" max="16384" width="10.7109375" style="69"/>
  </cols>
  <sheetData>
    <row r="2" spans="1:67" x14ac:dyDescent="0.25">
      <c r="A2" s="72" t="s">
        <v>36</v>
      </c>
      <c r="B2" s="72" t="s">
        <v>108</v>
      </c>
      <c r="C2" s="72" t="s">
        <v>21</v>
      </c>
      <c r="D2" s="72" t="s">
        <v>22</v>
      </c>
      <c r="E2" s="72" t="s">
        <v>26</v>
      </c>
      <c r="F2" s="72" t="s">
        <v>20</v>
      </c>
      <c r="G2" s="72" t="s">
        <v>97</v>
      </c>
      <c r="H2" s="73" t="s">
        <v>98</v>
      </c>
      <c r="I2" s="74" t="s">
        <v>109</v>
      </c>
      <c r="J2" s="74" t="s">
        <v>110</v>
      </c>
      <c r="K2" s="74" t="s">
        <v>111</v>
      </c>
      <c r="L2" s="74" t="s">
        <v>112</v>
      </c>
      <c r="M2" s="74" t="s">
        <v>113</v>
      </c>
      <c r="N2" s="74" t="s">
        <v>114</v>
      </c>
      <c r="O2" s="74" t="s">
        <v>115</v>
      </c>
      <c r="P2" s="72" t="s">
        <v>27</v>
      </c>
      <c r="Q2" s="72" t="s">
        <v>28</v>
      </c>
      <c r="R2" s="72" t="s">
        <v>29</v>
      </c>
      <c r="S2" s="72" t="s">
        <v>116</v>
      </c>
      <c r="T2" s="72" t="s">
        <v>117</v>
      </c>
      <c r="U2" s="72" t="s">
        <v>35</v>
      </c>
      <c r="V2" s="72" t="s">
        <v>118</v>
      </c>
      <c r="W2" s="72" t="s">
        <v>81</v>
      </c>
      <c r="X2" s="72" t="s">
        <v>82</v>
      </c>
      <c r="Y2" s="72" t="s">
        <v>83</v>
      </c>
      <c r="Z2" s="72" t="s">
        <v>84</v>
      </c>
      <c r="AA2" s="72" t="s">
        <v>85</v>
      </c>
      <c r="AB2" s="74" t="s">
        <v>119</v>
      </c>
      <c r="AC2" s="74" t="s">
        <v>120</v>
      </c>
      <c r="AD2" s="74" t="s">
        <v>121</v>
      </c>
      <c r="AE2" s="72" t="s">
        <v>33</v>
      </c>
      <c r="AF2" s="72" t="s">
        <v>58</v>
      </c>
      <c r="AG2" s="72" t="s">
        <v>59</v>
      </c>
      <c r="AH2" s="72" t="s">
        <v>34</v>
      </c>
      <c r="AI2" s="72" t="s">
        <v>122</v>
      </c>
      <c r="AJ2" s="72" t="s">
        <v>123</v>
      </c>
      <c r="AK2" s="72" t="s">
        <v>124</v>
      </c>
      <c r="AL2" s="72" t="s">
        <v>125</v>
      </c>
      <c r="AM2" s="72" t="s">
        <v>126</v>
      </c>
      <c r="AN2" s="72" t="s">
        <v>127</v>
      </c>
      <c r="AO2" s="72" t="s">
        <v>128</v>
      </c>
      <c r="AP2" s="72" t="s">
        <v>129</v>
      </c>
      <c r="AQ2" s="75" t="s">
        <v>51</v>
      </c>
      <c r="AR2" s="75" t="s">
        <v>52</v>
      </c>
      <c r="AS2" s="75" t="s">
        <v>48</v>
      </c>
      <c r="AT2" s="75" t="s">
        <v>49</v>
      </c>
      <c r="AU2" s="75" t="s">
        <v>50</v>
      </c>
      <c r="AV2" s="75" t="s">
        <v>53</v>
      </c>
      <c r="AW2" s="75" t="s">
        <v>66</v>
      </c>
      <c r="AX2" s="75" t="s">
        <v>55</v>
      </c>
      <c r="AY2" s="75" t="s">
        <v>56</v>
      </c>
      <c r="AZ2" s="75" t="s">
        <v>68</v>
      </c>
      <c r="BA2" s="75" t="s">
        <v>69</v>
      </c>
      <c r="BB2" s="76" t="s">
        <v>130</v>
      </c>
      <c r="BC2" s="76" t="s">
        <v>86</v>
      </c>
      <c r="BD2" s="77" t="s">
        <v>131</v>
      </c>
      <c r="BE2" s="77" t="s">
        <v>132</v>
      </c>
      <c r="BF2" s="77" t="s">
        <v>133</v>
      </c>
      <c r="BG2" s="77" t="s">
        <v>134</v>
      </c>
      <c r="BH2" s="77" t="s">
        <v>135</v>
      </c>
      <c r="BI2" s="77" t="s">
        <v>136</v>
      </c>
      <c r="BJ2" s="77" t="s">
        <v>137</v>
      </c>
      <c r="BK2" s="77" t="s">
        <v>138</v>
      </c>
      <c r="BL2" s="77" t="s">
        <v>139</v>
      </c>
      <c r="BM2" s="77" t="s">
        <v>140</v>
      </c>
      <c r="BN2" s="77" t="s">
        <v>141</v>
      </c>
      <c r="BO2" s="77" t="s">
        <v>142</v>
      </c>
    </row>
    <row r="3" spans="1:67" x14ac:dyDescent="0.25">
      <c r="A3" s="69" t="str">
        <f>'Resumen General'!C5</f>
        <v xml:space="preserve">Instituto Nacional de Metrología </v>
      </c>
      <c r="B3" s="69" t="str">
        <f>'Resumen General'!C6</f>
        <v>Sandra Lucía López Pedreros</v>
      </c>
      <c r="C3" s="69">
        <f>+ABOGADOS!D11</f>
        <v>3</v>
      </c>
      <c r="D3" s="69">
        <f>+ABOGADOS!D12</f>
        <v>4</v>
      </c>
      <c r="E3" s="69">
        <f>+ABOGADOS!D13</f>
        <v>3</v>
      </c>
      <c r="F3" s="69">
        <f>+ABOGADOS!D14</f>
        <v>0</v>
      </c>
      <c r="G3" s="69">
        <f>+ABOGADOS!D17</f>
        <v>0</v>
      </c>
      <c r="H3" s="69">
        <f>+ABOGADOS!D18</f>
        <v>0</v>
      </c>
      <c r="I3" s="69">
        <f>+ABOGADOS!G10</f>
        <v>4</v>
      </c>
      <c r="J3" s="69">
        <f>+ABOGADOS!G11</f>
        <v>4</v>
      </c>
      <c r="K3" s="69">
        <f>+ABOGADOS!G12</f>
        <v>4</v>
      </c>
      <c r="L3" s="69">
        <f>+ABOGADOS!G17</f>
        <v>2</v>
      </c>
      <c r="M3" s="69">
        <f>+ABOGADOS!G18</f>
        <v>1</v>
      </c>
      <c r="N3" s="69">
        <f>+ABOGADOS!G19</f>
        <v>0</v>
      </c>
      <c r="O3" s="69">
        <f>+ABOGADOS!G20</f>
        <v>1</v>
      </c>
      <c r="P3" s="69">
        <f>+JUDICIALES!D11</f>
        <v>11</v>
      </c>
      <c r="Q3" s="69">
        <f>+JUDICIALES!D12</f>
        <v>11</v>
      </c>
      <c r="R3" s="69">
        <f>+JUDICIALES!D13</f>
        <v>0</v>
      </c>
      <c r="S3" s="69">
        <f>+JUDICIALES!D16</f>
        <v>0</v>
      </c>
      <c r="T3" s="69">
        <f>+JUDICIALES!D17</f>
        <v>0</v>
      </c>
      <c r="U3" s="69">
        <f>+JUDICIALES!D21</f>
        <v>13</v>
      </c>
      <c r="V3" s="69">
        <f>+JUDICIALES!D22</f>
        <v>0</v>
      </c>
      <c r="W3" s="69">
        <f>JUDICIALES!D28</f>
        <v>0</v>
      </c>
      <c r="X3" s="69">
        <f>JUDICIALES!D29</f>
        <v>0</v>
      </c>
      <c r="Y3" s="69">
        <f>JUDICIALES!D30</f>
        <v>0</v>
      </c>
      <c r="Z3" s="69">
        <f>JUDICIALES!D31</f>
        <v>0</v>
      </c>
      <c r="AA3" s="69">
        <f>JUDICIALES!D32</f>
        <v>0</v>
      </c>
      <c r="AB3" s="69">
        <f>+JUDICIALES!G9</f>
        <v>0</v>
      </c>
      <c r="AC3" s="69">
        <f>+JUDICIALES!G10</f>
        <v>0</v>
      </c>
      <c r="AD3" s="69">
        <f>+JUDICIALES!G11</f>
        <v>0</v>
      </c>
      <c r="AE3" s="69">
        <f>+JUDICIALES!G15</f>
        <v>11</v>
      </c>
      <c r="AF3" s="69">
        <f>+JUDICIALES!G16</f>
        <v>0</v>
      </c>
      <c r="AG3" s="69">
        <f>+JUDICIALES!G17</f>
        <v>0</v>
      </c>
      <c r="AH3" s="69">
        <f>+JUDICIALES!G18</f>
        <v>0</v>
      </c>
      <c r="AI3" s="69">
        <f>+JUDICIALES!G21</f>
        <v>0</v>
      </c>
      <c r="AJ3" s="69">
        <f>+JUDICIALES!G22</f>
        <v>10</v>
      </c>
      <c r="AK3" s="69">
        <f>+JUDICIALES!G23</f>
        <v>1</v>
      </c>
      <c r="AL3" s="69">
        <f>+JUDICIALES!G24</f>
        <v>0</v>
      </c>
      <c r="AM3" s="69">
        <f>+JUDICIALES!H21</f>
        <v>0</v>
      </c>
      <c r="AN3" s="69">
        <f>+JUDICIALES!H22</f>
        <v>10</v>
      </c>
      <c r="AO3" s="69">
        <f>+JUDICIALES!H23</f>
        <v>1</v>
      </c>
      <c r="AP3" s="69">
        <f>+JUDICIALES!H24</f>
        <v>0</v>
      </c>
      <c r="AQ3" s="69">
        <f>+PREJUDICIALES!D10</f>
        <v>0</v>
      </c>
      <c r="AR3" s="69">
        <f>+PREJUDICIALES!D11</f>
        <v>0</v>
      </c>
      <c r="AS3" s="69">
        <f>+PREJUDICIALES!D12</f>
        <v>0</v>
      </c>
      <c r="AT3" s="69">
        <f>+PREJUDICIALES!D13</f>
        <v>0</v>
      </c>
      <c r="AU3" s="69">
        <f>+PREJUDICIALES!D14</f>
        <v>0</v>
      </c>
      <c r="AV3" s="69">
        <f>+PREJUDICIALES!D17</f>
        <v>0</v>
      </c>
      <c r="AW3" s="69">
        <f>+PREJUDICIALES!D18</f>
        <v>0</v>
      </c>
      <c r="AX3" s="69">
        <f>+PREJUDICIALES!G12</f>
        <v>0</v>
      </c>
      <c r="AY3" s="69">
        <f>+PREJUDICIALES!G13</f>
        <v>0</v>
      </c>
      <c r="AZ3" s="69">
        <f>+ARBITRAMENTOS!D9</f>
        <v>0</v>
      </c>
      <c r="BA3" s="69">
        <f>+ARBITRAMENTOS!D10</f>
        <v>0</v>
      </c>
      <c r="BB3" s="69">
        <f>ARBITRAMENTOS!G9</f>
        <v>0</v>
      </c>
      <c r="BC3" s="69">
        <f>ARBITRAMENTOS!G10</f>
        <v>0</v>
      </c>
      <c r="BD3" s="69" t="str">
        <f>+PAGOS!D9</f>
        <v>Si</v>
      </c>
      <c r="BE3" s="69" t="str">
        <f>+PAGOS!D10</f>
        <v>No</v>
      </c>
      <c r="BF3" s="70">
        <f>USUARIOS!D9</f>
        <v>44813</v>
      </c>
      <c r="BG3" s="70">
        <f>ABOGADOS!D7</f>
        <v>44817</v>
      </c>
      <c r="BH3" s="70">
        <f>JUDICIALES!D8</f>
        <v>44818</v>
      </c>
      <c r="BI3" s="69" t="str">
        <f>+USUARIOS!C19</f>
        <v xml:space="preserve">1. El rol de Jefe jurídico/abogado, activado desde el 2021-12-03, a cargo de Lina Marcela Quintero Durán con identificación 1140842327, la Oficina de Control Interno recomienda debe ser desactivado por el perfil Administrador de la entidad/Secretario Técnico del Comité de Conciliación/Abogado, en razón a que se ha desvinculado de la entidad desde el mes de julio de 2022. 
2. Por parte de la Oficina de Control Interno, la actualización del rol Jefe de Oficina de Control Interno fue realizada por parte de la funcionaria Johanna Ávila Caballero, el 2022-03-09. 
3. El rol de administrador de la entidad, no cuenta con certificación, pero se generará la recomendación para realizar la capacitación correspondiente a la funcionaria que cuenta con el rol.
</v>
      </c>
      <c r="BJ3" s="69" t="str">
        <f>+ABOGADOS!C22</f>
        <v xml:space="preserve">1.  Recomendar al rol de Administrador la inactivación de los abogados que en la actualidad no se encuentran vinculados al INM.  Se aclara que, para el primer semestre de 2022, sólo se contaba con 3 abogadas. 
2. Recomendar al rol de Administrador la inactivación de la exfuncionaria Abogada Lina Marcela Quintero Durán, que no hace parte desde julio de 2022 del INM. 
3. Recomendar al rol de Administrador la inactivación de la ex-contratista Julieth Carolina Riascos Vargas, no cuenta contrato de prestación de servicios vigente. 
4. Recomendar a los abogados activos actualizar tanto la información de estudio de posgrados como el tiempo de experiencia en la defensa jurídica (la abogada Lina Marcela Quintero Durán, no relacionó en e-KOGUI su especialización, aunque la tiene relacionada en su hoja de vida)
</v>
      </c>
      <c r="BK3" s="69" t="str">
        <f>+JUDICIALES!F28</f>
        <v xml:space="preserve">1. En razón a que no se dieron por terminado procesos en el primer semestre de 2022, tenemos que los procesos terminados a ser analizados fue de "cero". 2. En la consulta realizada en el reporte de procesos activos en la calificación del riesgo, los 11 procesos con que cuenta el INM cuenta con la calificación el 8 de septiembre de 2022. </v>
      </c>
      <c r="BL3" s="69" t="str">
        <f>+PREJUDICIALES!F17</f>
        <v>1. El número de la muestra aparece "cero"  La entidad no cuenta con conciliaciones extrajudiciales para el primer semestre de 2022.</v>
      </c>
      <c r="BM3" s="69" t="str">
        <f>+ARBITRAMENTOS!C13</f>
        <v>1. El INM no cuenta con procesos arbitrales.</v>
      </c>
      <c r="BN3" s="69" t="str">
        <f>+PAGOS!F8</f>
        <v>1. Si bien se gestionan pagos por SIIF Nación, no se realizaron pagos en el primer semestre de 2022.</v>
      </c>
      <c r="BO3" s="69">
        <f>'Resumen General'!B23</f>
        <v>0</v>
      </c>
    </row>
    <row r="12" spans="1:67" x14ac:dyDescent="0.25">
      <c r="A12" s="69" t="s">
        <v>36</v>
      </c>
      <c r="B12" s="69" t="s">
        <v>15</v>
      </c>
      <c r="C12" s="72" t="s">
        <v>16</v>
      </c>
      <c r="D12" s="72" t="s">
        <v>6</v>
      </c>
      <c r="E12" s="72" t="s">
        <v>7</v>
      </c>
      <c r="F12" s="72" t="s">
        <v>17</v>
      </c>
      <c r="G12" s="72" t="s">
        <v>76</v>
      </c>
    </row>
    <row r="13" spans="1:67" x14ac:dyDescent="0.25">
      <c r="A13" s="69" t="str">
        <f t="shared" ref="A13:A18" si="0">$A$3</f>
        <v xml:space="preserve">Instituto Nacional de Metrología </v>
      </c>
      <c r="B13" s="69" t="s">
        <v>0</v>
      </c>
      <c r="C13" s="69" t="str">
        <f>USUARIOS!C12</f>
        <v>Si</v>
      </c>
      <c r="D13" s="71">
        <f>USUARIOS!D12</f>
        <v>43721</v>
      </c>
      <c r="E13" s="69" t="str">
        <f>USUARIOS!E12</f>
        <v xml:space="preserve">FREDDY GUILLERMO HERNÁNDEZ SANDOVAL </v>
      </c>
      <c r="F13" s="71">
        <f>USUARIOS!F12</f>
        <v>44391</v>
      </c>
      <c r="G13" s="69" t="str">
        <f>USUARIOS!G12</f>
        <v/>
      </c>
    </row>
    <row r="14" spans="1:67" x14ac:dyDescent="0.25">
      <c r="A14" s="69" t="str">
        <f t="shared" si="0"/>
        <v xml:space="preserve">Instituto Nacional de Metrología </v>
      </c>
      <c r="B14" s="69" t="s">
        <v>1</v>
      </c>
      <c r="C14" s="69" t="str">
        <f>USUARIOS!C13</f>
        <v>Si</v>
      </c>
      <c r="D14" s="71">
        <f>USUARIOS!D13</f>
        <v>44533</v>
      </c>
      <c r="E14" s="69" t="str">
        <f>USUARIOS!E13</f>
        <v xml:space="preserve">LINA MARCELA QUINTERO DÚRAN </v>
      </c>
      <c r="F14" s="71">
        <f>USUARIOS!F13</f>
        <v>44596</v>
      </c>
      <c r="G14" s="69" t="str">
        <f>USUARIOS!G13</f>
        <v/>
      </c>
    </row>
    <row r="15" spans="1:67" x14ac:dyDescent="0.25">
      <c r="A15" s="69" t="str">
        <f t="shared" si="0"/>
        <v xml:space="preserve">Instituto Nacional de Metrología </v>
      </c>
      <c r="B15" s="69" t="s">
        <v>2</v>
      </c>
      <c r="C15" s="69" t="str">
        <f>USUARIOS!C14</f>
        <v>No</v>
      </c>
      <c r="D15" s="71">
        <f>USUARIOS!D14</f>
        <v>0</v>
      </c>
      <c r="E15" s="69">
        <f>USUARIOS!E14</f>
        <v>0</v>
      </c>
      <c r="F15" s="71">
        <f>USUARIOS!F14</f>
        <v>0</v>
      </c>
      <c r="G15" s="69" t="str">
        <f>USUARIOS!G14</f>
        <v/>
      </c>
    </row>
    <row r="16" spans="1:67" x14ac:dyDescent="0.25">
      <c r="A16" s="69" t="str">
        <f t="shared" si="0"/>
        <v xml:space="preserve">Instituto Nacional de Metrología </v>
      </c>
      <c r="B16" s="69" t="s">
        <v>3</v>
      </c>
      <c r="C16" s="69" t="str">
        <f>USUARIOS!C15</f>
        <v>Si</v>
      </c>
      <c r="D16" s="71">
        <f>USUARIOS!D15</f>
        <v>42258</v>
      </c>
      <c r="E16" s="69" t="str">
        <f>USUARIOS!E15</f>
        <v>SANDRA LUCÍA LÓPEZ PEDREROS</v>
      </c>
      <c r="F16" s="71">
        <f>USUARIOS!F15</f>
        <v>44629</v>
      </c>
      <c r="G16" s="69" t="str">
        <f>USUARIOS!G15</f>
        <v/>
      </c>
    </row>
    <row r="17" spans="1:7" x14ac:dyDescent="0.25">
      <c r="A17" s="69" t="str">
        <f t="shared" si="0"/>
        <v xml:space="preserve">Instituto Nacional de Metrología </v>
      </c>
      <c r="B17" s="69" t="s">
        <v>4</v>
      </c>
      <c r="C17" s="69" t="str">
        <f>USUARIOS!C16</f>
        <v>Si</v>
      </c>
      <c r="D17" s="71">
        <f>USUARIOS!D16</f>
        <v>44470</v>
      </c>
      <c r="E17" s="69" t="str">
        <f>USUARIOS!E16</f>
        <v>ADRIANA DEL PILAR DOMÍNGUEZ FORIGUA</v>
      </c>
      <c r="F17" s="71">
        <f>USUARIOS!F16</f>
        <v>44603</v>
      </c>
      <c r="G17" s="69" t="str">
        <f>USUARIOS!G16</f>
        <v/>
      </c>
    </row>
    <row r="18" spans="1:7" x14ac:dyDescent="0.25">
      <c r="A18" s="69" t="str">
        <f t="shared" si="0"/>
        <v xml:space="preserve">Instituto Nacional de Metrología </v>
      </c>
      <c r="B18" s="69" t="s">
        <v>5</v>
      </c>
      <c r="C18" s="69" t="str">
        <f>USUARIOS!C17</f>
        <v>Si</v>
      </c>
      <c r="D18" s="71">
        <f>USUARIOS!D17</f>
        <v>44470</v>
      </c>
      <c r="E18" s="69" t="str">
        <f>USUARIOS!E17</f>
        <v>ADRIANA DEL PILAR DOMÍNGUEZ FORIGUA</v>
      </c>
      <c r="F18" s="71">
        <f>USUARIOS!F17</f>
        <v>0</v>
      </c>
      <c r="G18" s="69" t="str">
        <f>USUARIOS!G17</f>
        <v>DESACTUALIZADO</v>
      </c>
    </row>
  </sheetData>
  <sheetProtection algorithmName="SHA-512" hashValue="K0dJHZsjIAvYDASG9ma+p8UGl1w8nczCJjXsz7WHEVVCfmWBEFXJkswtELoOwliYcMJMFfkVbcEVvaJawzUajg==" saltValue="aBx/Vdv/BhILutXsvz0UOg==" spinCount="100000" sheet="1" objects="1" scenarios="1"/>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Lelly Vianexi Calderón</cp:lastModifiedBy>
  <dcterms:created xsi:type="dcterms:W3CDTF">2020-06-25T21:16:25Z</dcterms:created>
  <dcterms:modified xsi:type="dcterms:W3CDTF">2022-09-15T21:24:58Z</dcterms:modified>
</cp:coreProperties>
</file>